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autoCompressPictures="0"/>
  <bookViews>
    <workbookView xWindow="240" yWindow="60" windowWidth="28185" windowHeight="11760"/>
  </bookViews>
  <sheets>
    <sheet name="Investment_Projections" sheetId="2" r:id="rId1"/>
    <sheet name="Calc_sheet" sheetId="1" state="hidden" r:id="rId2"/>
  </sheets>
  <definedNames>
    <definedName name="GBP" localSheetId="0">Investment_Projections!$L$40</definedName>
    <definedName name="_xlnm.Print_Area" localSheetId="1">Calc_sheet!$A$1:$AB$14</definedName>
    <definedName name="_xlnm.Print_Area" localSheetId="0">Investment_Projections!$A$5:$Q$100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S53" i="1" l="1"/>
  <c r="G52" i="1"/>
  <c r="C27" i="1"/>
  <c r="D21" i="1"/>
  <c r="C28" i="1"/>
  <c r="AJ23" i="1"/>
  <c r="AJ52" i="1"/>
  <c r="H75" i="1"/>
  <c r="I75" i="1"/>
  <c r="J75" i="1"/>
  <c r="K75" i="1"/>
  <c r="L75" i="1"/>
  <c r="M75" i="1"/>
  <c r="N75" i="1"/>
  <c r="O75" i="1"/>
  <c r="P75" i="1"/>
  <c r="Q75" i="1"/>
  <c r="R75" i="1"/>
  <c r="S75" i="1"/>
  <c r="T75" i="1"/>
  <c r="U75" i="1"/>
  <c r="V75" i="1"/>
  <c r="W75" i="1"/>
  <c r="X75" i="1"/>
  <c r="Y75" i="1"/>
  <c r="Z75" i="1"/>
  <c r="AA75" i="1"/>
  <c r="AB75" i="1"/>
  <c r="AC75" i="1"/>
  <c r="AD75" i="1"/>
  <c r="AE75" i="1"/>
  <c r="C21" i="1"/>
  <c r="D22" i="1"/>
  <c r="L42" i="2"/>
  <c r="AJ26" i="1"/>
  <c r="AJ30" i="1"/>
  <c r="C30" i="1"/>
  <c r="AL23" i="1"/>
  <c r="D42" i="2"/>
  <c r="AL32" i="1"/>
  <c r="AL52" i="1"/>
  <c r="AL20" i="1"/>
  <c r="AL25" i="1"/>
  <c r="AL29" i="1"/>
  <c r="AL26" i="1"/>
  <c r="AL31" i="1"/>
  <c r="AL19" i="1"/>
  <c r="AL24" i="1"/>
  <c r="AL28" i="1"/>
  <c r="L6" i="1"/>
  <c r="M6" i="1"/>
  <c r="N6" i="1"/>
  <c r="O6" i="1"/>
  <c r="P6" i="1"/>
  <c r="Q6" i="1"/>
  <c r="R6" i="1"/>
  <c r="S6" i="1"/>
  <c r="K6" i="1"/>
  <c r="J5" i="1"/>
  <c r="K5" i="1"/>
  <c r="L5" i="1"/>
  <c r="M5" i="1"/>
  <c r="N5" i="1"/>
  <c r="O5" i="1"/>
  <c r="P5" i="1"/>
  <c r="Q5" i="1"/>
  <c r="R5" i="1"/>
  <c r="S5" i="1"/>
  <c r="I5" i="1"/>
  <c r="H19" i="1"/>
  <c r="AC5" i="1"/>
  <c r="U6" i="1"/>
  <c r="X6" i="1"/>
  <c r="L13" i="1"/>
  <c r="M13" i="1"/>
  <c r="N13" i="1"/>
  <c r="O13" i="1"/>
  <c r="P13" i="1"/>
  <c r="Q13" i="1"/>
  <c r="R13" i="1"/>
  <c r="S13" i="1"/>
  <c r="J13" i="1"/>
  <c r="K13" i="1"/>
  <c r="I13" i="1"/>
  <c r="L14" i="1"/>
  <c r="M14" i="1"/>
  <c r="N14" i="1"/>
  <c r="O14" i="1"/>
  <c r="P14" i="1"/>
  <c r="Q14" i="1"/>
  <c r="R14" i="1"/>
  <c r="S14" i="1"/>
  <c r="K14" i="1"/>
  <c r="AA13" i="1"/>
  <c r="AB13" i="1"/>
  <c r="U13" i="1"/>
  <c r="X13" i="1"/>
  <c r="U11" i="1"/>
  <c r="X11" i="1"/>
  <c r="U8" i="1"/>
  <c r="X8" i="1"/>
  <c r="H31" i="1"/>
  <c r="AC13" i="1"/>
  <c r="I76" i="1"/>
  <c r="J76" i="1"/>
  <c r="K76" i="1"/>
  <c r="L76" i="1"/>
  <c r="M76" i="1"/>
  <c r="N76" i="1"/>
  <c r="O76" i="1"/>
  <c r="P76" i="1"/>
  <c r="Q76" i="1"/>
  <c r="R76" i="1"/>
  <c r="S76" i="1"/>
  <c r="T76" i="1"/>
  <c r="U76" i="1"/>
  <c r="V76" i="1"/>
  <c r="W76" i="1"/>
  <c r="X76" i="1"/>
  <c r="Y76" i="1"/>
  <c r="Z76" i="1"/>
  <c r="AA76" i="1"/>
  <c r="AB76" i="1"/>
  <c r="AC76" i="1"/>
  <c r="AD76" i="1"/>
  <c r="AE76" i="1"/>
  <c r="J58" i="1"/>
  <c r="K58" i="1"/>
  <c r="L58" i="1"/>
  <c r="L48" i="1"/>
  <c r="G55" i="1"/>
  <c r="AS43" i="1"/>
  <c r="AS56" i="1"/>
  <c r="V73" i="1"/>
  <c r="W73" i="1"/>
  <c r="X73" i="1"/>
  <c r="Y73" i="1"/>
  <c r="Z73" i="1"/>
  <c r="AA73" i="1"/>
  <c r="AB73" i="1"/>
  <c r="AC73" i="1"/>
  <c r="AD73" i="1"/>
  <c r="F12" i="1"/>
  <c r="N12" i="1"/>
  <c r="R12" i="1"/>
  <c r="S12" i="1"/>
  <c r="M12" i="1"/>
  <c r="F11" i="1"/>
  <c r="U4" i="1"/>
  <c r="X12" i="1"/>
  <c r="AA12" i="1"/>
  <c r="AB12" i="1"/>
  <c r="X9" i="1"/>
  <c r="AA9" i="1"/>
  <c r="AB9" i="1"/>
  <c r="H29" i="1"/>
  <c r="AC12" i="1"/>
  <c r="A25" i="1"/>
  <c r="G53" i="1"/>
  <c r="C25" i="1"/>
  <c r="J4" i="1"/>
  <c r="K4" i="1"/>
  <c r="L4" i="1"/>
  <c r="M4" i="1"/>
  <c r="N4" i="1"/>
  <c r="O4" i="1"/>
  <c r="P4" i="1"/>
  <c r="Q4" i="1"/>
  <c r="R4" i="1"/>
  <c r="S4" i="1"/>
  <c r="I4" i="1"/>
  <c r="L9" i="1"/>
  <c r="M9" i="1"/>
  <c r="N9" i="1"/>
  <c r="O9" i="1"/>
  <c r="P9" i="1"/>
  <c r="Q9" i="1"/>
  <c r="R9" i="1"/>
  <c r="S9" i="1"/>
  <c r="K9" i="1"/>
  <c r="J7" i="1"/>
  <c r="K7" i="1"/>
  <c r="L7" i="1"/>
  <c r="M7" i="1"/>
  <c r="N7" i="1"/>
  <c r="O7" i="1"/>
  <c r="P7" i="1"/>
  <c r="Q7" i="1"/>
  <c r="R7" i="1"/>
  <c r="S7" i="1"/>
  <c r="I7" i="1"/>
  <c r="L8" i="1"/>
  <c r="M8" i="1"/>
  <c r="N8" i="1"/>
  <c r="O8" i="1"/>
  <c r="P8" i="1"/>
  <c r="Q8" i="1"/>
  <c r="R8" i="1"/>
  <c r="S8" i="1"/>
  <c r="K8" i="1"/>
  <c r="J8" i="1"/>
  <c r="I8" i="1"/>
  <c r="X14" i="1"/>
  <c r="X4" i="1"/>
  <c r="H25" i="1"/>
  <c r="H27" i="1"/>
  <c r="AJ27" i="1"/>
  <c r="AL27" i="1"/>
  <c r="H28" i="1"/>
  <c r="H33" i="1"/>
  <c r="AJ33" i="1"/>
  <c r="H21" i="1"/>
  <c r="H22" i="1"/>
  <c r="H24" i="1"/>
  <c r="H18" i="1"/>
  <c r="C22" i="1"/>
  <c r="U7" i="1"/>
  <c r="X7" i="1"/>
  <c r="AC6" i="1"/>
  <c r="AC7" i="1"/>
  <c r="AC8" i="1"/>
  <c r="AC9" i="1"/>
  <c r="AC10" i="1"/>
  <c r="AC11" i="1"/>
  <c r="AC14" i="1"/>
  <c r="AC4" i="1"/>
  <c r="I22" i="1"/>
  <c r="J22" i="1"/>
  <c r="J23" i="1"/>
  <c r="AA4" i="1"/>
  <c r="AB4" i="1"/>
  <c r="I18" i="1"/>
  <c r="J18" i="1"/>
  <c r="K18" i="1"/>
  <c r="L18" i="1"/>
  <c r="M18" i="1"/>
  <c r="N18" i="1"/>
  <c r="O18" i="1"/>
  <c r="P18" i="1"/>
  <c r="Q18" i="1"/>
  <c r="R18" i="1"/>
  <c r="S18" i="1"/>
  <c r="T18" i="1"/>
  <c r="U18" i="1"/>
  <c r="V18" i="1"/>
  <c r="W18" i="1"/>
  <c r="X18" i="1"/>
  <c r="Y18" i="1"/>
  <c r="Z18" i="1"/>
  <c r="AA18" i="1"/>
  <c r="AB18" i="1"/>
  <c r="AC18" i="1"/>
  <c r="AD18" i="1"/>
  <c r="AE18" i="1"/>
  <c r="AF18" i="1"/>
  <c r="AG18" i="1"/>
  <c r="G50" i="1"/>
  <c r="AJ21" i="1"/>
  <c r="A64" i="1"/>
  <c r="B106" i="2"/>
  <c r="AJ53" i="1"/>
  <c r="AL53" i="1"/>
  <c r="L12" i="1"/>
  <c r="G51" i="1"/>
  <c r="AS40" i="1"/>
  <c r="AJ22" i="1"/>
  <c r="AL22" i="1"/>
  <c r="G49" i="1"/>
  <c r="AJ18" i="1"/>
  <c r="AL18" i="1"/>
  <c r="A66" i="1"/>
  <c r="B108" i="2"/>
  <c r="AJ55" i="1"/>
  <c r="C29" i="1"/>
  <c r="D23" i="1"/>
  <c r="C23" i="1"/>
  <c r="R34" i="1"/>
  <c r="W34" i="1"/>
  <c r="W36" i="1"/>
  <c r="AB35" i="1"/>
  <c r="AB34" i="1"/>
  <c r="M34" i="1"/>
  <c r="W35" i="1"/>
  <c r="R35" i="1"/>
  <c r="B6" i="1"/>
  <c r="B5" i="1"/>
  <c r="P12" i="1"/>
  <c r="AS38" i="1"/>
  <c r="AS50" i="1"/>
  <c r="AS41" i="1"/>
  <c r="AS54" i="1"/>
  <c r="J48" i="1"/>
  <c r="K12" i="1"/>
  <c r="O12" i="1"/>
  <c r="K48" i="1"/>
  <c r="AS39" i="1"/>
  <c r="AS51" i="1"/>
  <c r="I31" i="1"/>
  <c r="K29" i="1"/>
  <c r="Q12" i="1"/>
  <c r="M58" i="1"/>
  <c r="M48" i="1"/>
  <c r="AE73" i="1"/>
  <c r="G54" i="1"/>
  <c r="G56" i="1"/>
  <c r="B109" i="2"/>
  <c r="K25" i="1"/>
  <c r="L25" i="1"/>
  <c r="G64" i="1"/>
  <c r="F64" i="1"/>
  <c r="F62" i="1"/>
  <c r="K22" i="1"/>
  <c r="B107" i="2"/>
  <c r="AJ54" i="1"/>
  <c r="AL54" i="1"/>
  <c r="AL21" i="1"/>
  <c r="A63" i="1"/>
  <c r="B105" i="2"/>
  <c r="AJ51" i="1"/>
  <c r="AL51" i="1"/>
  <c r="A61" i="1"/>
  <c r="B103" i="2"/>
  <c r="AJ49" i="1"/>
  <c r="AL49" i="1"/>
  <c r="A62" i="1"/>
  <c r="B104" i="2"/>
  <c r="AJ50" i="1"/>
  <c r="AL50" i="1"/>
  <c r="AS52" i="1"/>
  <c r="M25" i="1"/>
  <c r="N25" i="1"/>
  <c r="O25" i="1"/>
  <c r="P25" i="1"/>
  <c r="Q25" i="1"/>
  <c r="A67" i="1"/>
  <c r="AS44" i="1"/>
  <c r="AS57" i="1"/>
  <c r="A65" i="1"/>
  <c r="AS42" i="1"/>
  <c r="AS55" i="1"/>
  <c r="J31" i="1"/>
  <c r="I33" i="1"/>
  <c r="N58" i="1"/>
  <c r="N48" i="1"/>
  <c r="F66" i="1"/>
  <c r="M40" i="2"/>
  <c r="K23" i="1"/>
  <c r="L22" i="1"/>
  <c r="R25" i="1"/>
  <c r="S25" i="1"/>
  <c r="T25" i="1"/>
  <c r="U25" i="1"/>
  <c r="V25" i="1"/>
  <c r="K31" i="1"/>
  <c r="J33" i="1"/>
  <c r="O58" i="1"/>
  <c r="O48" i="1"/>
  <c r="L23" i="1"/>
  <c r="M22" i="1"/>
  <c r="W25" i="1"/>
  <c r="X25" i="1"/>
  <c r="Y25" i="1"/>
  <c r="Z25" i="1"/>
  <c r="AA25" i="1"/>
  <c r="L31" i="1"/>
  <c r="P58" i="1"/>
  <c r="P48" i="1"/>
  <c r="AM67" i="1"/>
  <c r="AN66" i="1"/>
  <c r="AM66" i="1"/>
  <c r="J40" i="2"/>
  <c r="G40" i="2"/>
  <c r="M23" i="1"/>
  <c r="N22" i="1"/>
  <c r="AV50" i="1"/>
  <c r="AV51" i="1"/>
  <c r="AB25" i="1"/>
  <c r="AC25" i="1"/>
  <c r="AD25" i="1"/>
  <c r="AE25" i="1"/>
  <c r="AF25" i="1"/>
  <c r="AG25" i="1"/>
  <c r="M31" i="1"/>
  <c r="Q58" i="1"/>
  <c r="Q48" i="1"/>
  <c r="N40" i="2"/>
  <c r="D27" i="2"/>
  <c r="U10" i="1"/>
  <c r="X10" i="1"/>
  <c r="O22" i="1"/>
  <c r="N23" i="1"/>
  <c r="AV52" i="1"/>
  <c r="AV53" i="1"/>
  <c r="AV54" i="1"/>
  <c r="AV55" i="1"/>
  <c r="AV56" i="1"/>
  <c r="AV57" i="1"/>
  <c r="H10" i="1"/>
  <c r="I10" i="1"/>
  <c r="AA10" i="1"/>
  <c r="AB10" i="1"/>
  <c r="I27" i="1"/>
  <c r="J10" i="1"/>
  <c r="J27" i="1"/>
  <c r="K10" i="1"/>
  <c r="K27" i="1"/>
  <c r="L10" i="1"/>
  <c r="L27" i="1"/>
  <c r="M10" i="1"/>
  <c r="M27" i="1"/>
  <c r="N10" i="1"/>
  <c r="N27" i="1"/>
  <c r="O10" i="1"/>
  <c r="O27" i="1"/>
  <c r="P10" i="1"/>
  <c r="P27" i="1"/>
  <c r="Q10" i="1"/>
  <c r="Q27" i="1"/>
  <c r="R10" i="1"/>
  <c r="R27" i="1"/>
  <c r="S10" i="1"/>
  <c r="S27" i="1"/>
  <c r="T27" i="1"/>
  <c r="U27" i="1"/>
  <c r="V27" i="1"/>
  <c r="W27" i="1"/>
  <c r="X27" i="1"/>
  <c r="Y27" i="1"/>
  <c r="Z27" i="1"/>
  <c r="AA27" i="1"/>
  <c r="AB27" i="1"/>
  <c r="AC27" i="1"/>
  <c r="AD27" i="1"/>
  <c r="AE27" i="1"/>
  <c r="AF27" i="1"/>
  <c r="AG27" i="1"/>
  <c r="N31" i="1"/>
  <c r="R58" i="1"/>
  <c r="R48" i="1"/>
  <c r="C24" i="1"/>
  <c r="AT37" i="1"/>
  <c r="O23" i="1"/>
  <c r="P22" i="1"/>
  <c r="H78" i="1"/>
  <c r="H77" i="1"/>
  <c r="I19" i="1"/>
  <c r="O31" i="1"/>
  <c r="S58" i="1"/>
  <c r="S48" i="1"/>
  <c r="C26" i="1"/>
  <c r="I63" i="1"/>
  <c r="AA14" i="1"/>
  <c r="AB14" i="1"/>
  <c r="AA11" i="1"/>
  <c r="H11" i="1"/>
  <c r="AA8" i="1"/>
  <c r="P23" i="1"/>
  <c r="Q22" i="1"/>
  <c r="I67" i="1"/>
  <c r="I56" i="1"/>
  <c r="J63" i="1"/>
  <c r="K63" i="1"/>
  <c r="L63" i="1"/>
  <c r="M63" i="1"/>
  <c r="N63" i="1"/>
  <c r="O63" i="1"/>
  <c r="P63" i="1"/>
  <c r="Q63" i="1"/>
  <c r="R63" i="1"/>
  <c r="S63" i="1"/>
  <c r="T63" i="1"/>
  <c r="U63" i="1"/>
  <c r="V63" i="1"/>
  <c r="W63" i="1"/>
  <c r="X63" i="1"/>
  <c r="Y63" i="1"/>
  <c r="Z63" i="1"/>
  <c r="AA63" i="1"/>
  <c r="AB63" i="1"/>
  <c r="AC63" i="1"/>
  <c r="AD63" i="1"/>
  <c r="AE63" i="1"/>
  <c r="AF63" i="1"/>
  <c r="AG63" i="1"/>
  <c r="I64" i="1"/>
  <c r="I66" i="1"/>
  <c r="I78" i="1"/>
  <c r="J78" i="1"/>
  <c r="K78" i="1"/>
  <c r="L78" i="1"/>
  <c r="M78" i="1"/>
  <c r="N78" i="1"/>
  <c r="O78" i="1"/>
  <c r="P78" i="1"/>
  <c r="Q78" i="1"/>
  <c r="R78" i="1"/>
  <c r="S78" i="1"/>
  <c r="T78" i="1"/>
  <c r="U78" i="1"/>
  <c r="V78" i="1"/>
  <c r="W78" i="1"/>
  <c r="X78" i="1"/>
  <c r="Y78" i="1"/>
  <c r="Z78" i="1"/>
  <c r="AA78" i="1"/>
  <c r="AB78" i="1"/>
  <c r="AC78" i="1"/>
  <c r="AD78" i="1"/>
  <c r="AE78" i="1"/>
  <c r="J19" i="1"/>
  <c r="J21" i="1"/>
  <c r="I21" i="1"/>
  <c r="K32" i="1"/>
  <c r="J64" i="1"/>
  <c r="K64" i="1"/>
  <c r="L64" i="1"/>
  <c r="M64" i="1"/>
  <c r="N64" i="1"/>
  <c r="O64" i="1"/>
  <c r="P64" i="1"/>
  <c r="Q64" i="1"/>
  <c r="R64" i="1"/>
  <c r="S64" i="1"/>
  <c r="J66" i="1"/>
  <c r="K66" i="1"/>
  <c r="L66" i="1"/>
  <c r="M66" i="1"/>
  <c r="N66" i="1"/>
  <c r="O66" i="1"/>
  <c r="P66" i="1"/>
  <c r="Q66" i="1"/>
  <c r="R66" i="1"/>
  <c r="S66" i="1"/>
  <c r="T66" i="1"/>
  <c r="P31" i="1"/>
  <c r="J67" i="1"/>
  <c r="L29" i="1"/>
  <c r="M29" i="1"/>
  <c r="N29" i="1"/>
  <c r="O29" i="1"/>
  <c r="P29" i="1"/>
  <c r="Q29" i="1"/>
  <c r="R29" i="1"/>
  <c r="S29" i="1"/>
  <c r="T29" i="1"/>
  <c r="U29" i="1"/>
  <c r="V29" i="1"/>
  <c r="W29" i="1"/>
  <c r="X29" i="1"/>
  <c r="Y29" i="1"/>
  <c r="Z29" i="1"/>
  <c r="AA29" i="1"/>
  <c r="AB29" i="1"/>
  <c r="AC29" i="1"/>
  <c r="AD29" i="1"/>
  <c r="AE29" i="1"/>
  <c r="AF29" i="1"/>
  <c r="AG29" i="1"/>
  <c r="M11" i="1"/>
  <c r="I11" i="1"/>
  <c r="P11" i="1"/>
  <c r="K11" i="1"/>
  <c r="Q11" i="1"/>
  <c r="L11" i="1"/>
  <c r="S11" i="1"/>
  <c r="O11" i="1"/>
  <c r="J11" i="1"/>
  <c r="R11" i="1"/>
  <c r="N11" i="1"/>
  <c r="T58" i="1"/>
  <c r="T48" i="1"/>
  <c r="AU38" i="1"/>
  <c r="AU43" i="1"/>
  <c r="AU42" i="1"/>
  <c r="AU44" i="1"/>
  <c r="AU39" i="1"/>
  <c r="AU41" i="1"/>
  <c r="AU40" i="1"/>
  <c r="AA6" i="1"/>
  <c r="Q23" i="1"/>
  <c r="R22" i="1"/>
  <c r="R23" i="1"/>
  <c r="I77" i="1"/>
  <c r="J77" i="1"/>
  <c r="K77" i="1"/>
  <c r="L77" i="1"/>
  <c r="M77" i="1"/>
  <c r="N77" i="1"/>
  <c r="O77" i="1"/>
  <c r="P77" i="1"/>
  <c r="Q77" i="1"/>
  <c r="R77" i="1"/>
  <c r="S77" i="1"/>
  <c r="T77" i="1"/>
  <c r="U77" i="1"/>
  <c r="V77" i="1"/>
  <c r="W77" i="1"/>
  <c r="X77" i="1"/>
  <c r="Y77" i="1"/>
  <c r="Z77" i="1"/>
  <c r="AA77" i="1"/>
  <c r="AB77" i="1"/>
  <c r="AC77" i="1"/>
  <c r="AD77" i="1"/>
  <c r="AE77" i="1"/>
  <c r="I62" i="1"/>
  <c r="K19" i="1"/>
  <c r="T64" i="1"/>
  <c r="L32" i="1"/>
  <c r="K33" i="1"/>
  <c r="AK33" i="1"/>
  <c r="J56" i="1"/>
  <c r="K67" i="1"/>
  <c r="Q31" i="1"/>
  <c r="U58" i="1"/>
  <c r="U48" i="1"/>
  <c r="AB6" i="1"/>
  <c r="K20" i="1"/>
  <c r="L20" i="1"/>
  <c r="M20" i="1"/>
  <c r="N20" i="1"/>
  <c r="O20" i="1"/>
  <c r="P20" i="1"/>
  <c r="Q20" i="1"/>
  <c r="R20" i="1"/>
  <c r="S20" i="1"/>
  <c r="T20" i="1"/>
  <c r="U20" i="1"/>
  <c r="V20" i="1"/>
  <c r="W20" i="1"/>
  <c r="X20" i="1"/>
  <c r="Y20" i="1"/>
  <c r="Z20" i="1"/>
  <c r="AA20" i="1"/>
  <c r="AB20" i="1"/>
  <c r="AC20" i="1"/>
  <c r="AD20" i="1"/>
  <c r="AE20" i="1"/>
  <c r="AF20" i="1"/>
  <c r="AG20" i="1"/>
  <c r="J62" i="1"/>
  <c r="I50" i="1"/>
  <c r="L19" i="1"/>
  <c r="U66" i="1"/>
  <c r="V66" i="1"/>
  <c r="M32" i="1"/>
  <c r="L33" i="1"/>
  <c r="AT57" i="1"/>
  <c r="U64" i="1"/>
  <c r="L67" i="1"/>
  <c r="K56" i="1"/>
  <c r="R31" i="1"/>
  <c r="V58" i="1"/>
  <c r="V48" i="1"/>
  <c r="AB8" i="1"/>
  <c r="AB11" i="1"/>
  <c r="V64" i="1"/>
  <c r="K21" i="1"/>
  <c r="I54" i="1"/>
  <c r="AK27" i="1"/>
  <c r="I24" i="1"/>
  <c r="J24" i="1"/>
  <c r="K62" i="1"/>
  <c r="L62" i="1"/>
  <c r="J50" i="1"/>
  <c r="M19" i="1"/>
  <c r="L21" i="1"/>
  <c r="M33" i="1"/>
  <c r="N32" i="1"/>
  <c r="M67" i="1"/>
  <c r="L56" i="1"/>
  <c r="AU57" i="1"/>
  <c r="S31" i="1"/>
  <c r="I28" i="1"/>
  <c r="I30" i="1"/>
  <c r="W58" i="1"/>
  <c r="W48" i="1"/>
  <c r="I49" i="1"/>
  <c r="I23" i="1"/>
  <c r="I52" i="1"/>
  <c r="I55" i="1"/>
  <c r="I26" i="1"/>
  <c r="I51" i="1"/>
  <c r="L50" i="1"/>
  <c r="M62" i="1"/>
  <c r="N62" i="1"/>
  <c r="O62" i="1"/>
  <c r="P62" i="1"/>
  <c r="Q62" i="1"/>
  <c r="R62" i="1"/>
  <c r="S62" i="1"/>
  <c r="T62" i="1"/>
  <c r="U62" i="1"/>
  <c r="V62" i="1"/>
  <c r="W62" i="1"/>
  <c r="X62" i="1"/>
  <c r="K50" i="1"/>
  <c r="N19" i="1"/>
  <c r="M21" i="1"/>
  <c r="O32" i="1"/>
  <c r="N33" i="1"/>
  <c r="W66" i="1"/>
  <c r="W64" i="1"/>
  <c r="N67" i="1"/>
  <c r="M56" i="1"/>
  <c r="AK56" i="1"/>
  <c r="J52" i="1"/>
  <c r="T31" i="1"/>
  <c r="J49" i="1"/>
  <c r="J54" i="1"/>
  <c r="J28" i="1"/>
  <c r="K28" i="1"/>
  <c r="X58" i="1"/>
  <c r="X48" i="1"/>
  <c r="K24" i="1"/>
  <c r="J26" i="1"/>
  <c r="J53" i="1"/>
  <c r="X64" i="1"/>
  <c r="I53" i="1"/>
  <c r="M50" i="1"/>
  <c r="O19" i="1"/>
  <c r="N21" i="1"/>
  <c r="N50" i="1"/>
  <c r="P32" i="1"/>
  <c r="O33" i="1"/>
  <c r="AL33" i="1"/>
  <c r="X66" i="1"/>
  <c r="O67" i="1"/>
  <c r="N56" i="1"/>
  <c r="U31" i="1"/>
  <c r="J51" i="1"/>
  <c r="J30" i="1"/>
  <c r="J55" i="1"/>
  <c r="AT50" i="1"/>
  <c r="K49" i="1"/>
  <c r="AT55" i="1"/>
  <c r="K54" i="1"/>
  <c r="AK54" i="1"/>
  <c r="L28" i="1"/>
  <c r="K30" i="1"/>
  <c r="Y58" i="1"/>
  <c r="Y48" i="1"/>
  <c r="L24" i="1"/>
  <c r="K26" i="1"/>
  <c r="K53" i="1"/>
  <c r="K55" i="1"/>
  <c r="AK30" i="1"/>
  <c r="AL30" i="1"/>
  <c r="AL34" i="1"/>
  <c r="K42" i="2"/>
  <c r="AK26" i="1"/>
  <c r="K52" i="1"/>
  <c r="AK52" i="1"/>
  <c r="AK23" i="1"/>
  <c r="Y62" i="1"/>
  <c r="P19" i="1"/>
  <c r="O21" i="1"/>
  <c r="O50" i="1"/>
  <c r="Q32" i="1"/>
  <c r="P33" i="1"/>
  <c r="Y66" i="1"/>
  <c r="Y64" i="1"/>
  <c r="P67" i="1"/>
  <c r="O56" i="1"/>
  <c r="AL56" i="1"/>
  <c r="V31" i="1"/>
  <c r="K51" i="1"/>
  <c r="AT51" i="1"/>
  <c r="AU51" i="1"/>
  <c r="L49" i="1"/>
  <c r="AU50" i="1"/>
  <c r="L54" i="1"/>
  <c r="AU55" i="1"/>
  <c r="M28" i="1"/>
  <c r="L30" i="1"/>
  <c r="Z58" i="1"/>
  <c r="Z48" i="1"/>
  <c r="M24" i="1"/>
  <c r="L26" i="1"/>
  <c r="Z62" i="1"/>
  <c r="AT52" i="1"/>
  <c r="AK50" i="1"/>
  <c r="AK21" i="1"/>
  <c r="AK34" i="1"/>
  <c r="P21" i="1"/>
  <c r="P50" i="1"/>
  <c r="Q19" i="1"/>
  <c r="Z64" i="1"/>
  <c r="Z66" i="1"/>
  <c r="R32" i="1"/>
  <c r="Q33" i="1"/>
  <c r="Q67" i="1"/>
  <c r="P56" i="1"/>
  <c r="L51" i="1"/>
  <c r="L55" i="1"/>
  <c r="AU56" i="1"/>
  <c r="AT56" i="1"/>
  <c r="AT54" i="1"/>
  <c r="L53" i="1"/>
  <c r="AU54" i="1"/>
  <c r="W31" i="1"/>
  <c r="M49" i="1"/>
  <c r="M54" i="1"/>
  <c r="N28" i="1"/>
  <c r="M30" i="1"/>
  <c r="M55" i="1"/>
  <c r="AK55" i="1"/>
  <c r="AL55" i="1"/>
  <c r="AL57" i="1"/>
  <c r="O42" i="2"/>
  <c r="AA58" i="1"/>
  <c r="AA48" i="1"/>
  <c r="N24" i="1"/>
  <c r="M26" i="1"/>
  <c r="M53" i="1"/>
  <c r="AK53" i="1"/>
  <c r="AA62" i="1"/>
  <c r="AT53" i="1"/>
  <c r="L52" i="1"/>
  <c r="AU53" i="1"/>
  <c r="N52" i="1"/>
  <c r="M52" i="1"/>
  <c r="AU52" i="1"/>
  <c r="R19" i="1"/>
  <c r="Q21" i="1"/>
  <c r="Q50" i="1"/>
  <c r="AA66" i="1"/>
  <c r="AA64" i="1"/>
  <c r="S32" i="1"/>
  <c r="R33" i="1"/>
  <c r="R67" i="1"/>
  <c r="Q56" i="1"/>
  <c r="X31" i="1"/>
  <c r="N54" i="1"/>
  <c r="AK18" i="1"/>
  <c r="N49" i="1"/>
  <c r="O28" i="1"/>
  <c r="N30" i="1"/>
  <c r="N55" i="1"/>
  <c r="AB58" i="1"/>
  <c r="AB48" i="1"/>
  <c r="O24" i="1"/>
  <c r="N26" i="1"/>
  <c r="N53" i="1"/>
  <c r="N51" i="1"/>
  <c r="AB62" i="1"/>
  <c r="AK22" i="1"/>
  <c r="O52" i="1"/>
  <c r="S19" i="1"/>
  <c r="R21" i="1"/>
  <c r="R50" i="1"/>
  <c r="AB64" i="1"/>
  <c r="T32" i="1"/>
  <c r="S33" i="1"/>
  <c r="AB66" i="1"/>
  <c r="S67" i="1"/>
  <c r="R56" i="1"/>
  <c r="Y31" i="1"/>
  <c r="P52" i="1"/>
  <c r="O51" i="1"/>
  <c r="O49" i="1"/>
  <c r="AK49" i="1"/>
  <c r="O54" i="1"/>
  <c r="P28" i="1"/>
  <c r="O30" i="1"/>
  <c r="AC58" i="1"/>
  <c r="AC48" i="1"/>
  <c r="P24" i="1"/>
  <c r="O26" i="1"/>
  <c r="AC62" i="1"/>
  <c r="O53" i="1"/>
  <c r="O55" i="1"/>
  <c r="T19" i="1"/>
  <c r="S21" i="1"/>
  <c r="S50" i="1"/>
  <c r="AC66" i="1"/>
  <c r="U32" i="1"/>
  <c r="T33" i="1"/>
  <c r="AC64" i="1"/>
  <c r="T67" i="1"/>
  <c r="S56" i="1"/>
  <c r="Q52" i="1"/>
  <c r="P51" i="1"/>
  <c r="Z31" i="1"/>
  <c r="P49" i="1"/>
  <c r="P54" i="1"/>
  <c r="Q28" i="1"/>
  <c r="P30" i="1"/>
  <c r="P55" i="1"/>
  <c r="AD58" i="1"/>
  <c r="AD48" i="1"/>
  <c r="Q24" i="1"/>
  <c r="P26" i="1"/>
  <c r="P53" i="1"/>
  <c r="AD64" i="1"/>
  <c r="AE64" i="1"/>
  <c r="AD62" i="1"/>
  <c r="U19" i="1"/>
  <c r="T21" i="1"/>
  <c r="T50" i="1"/>
  <c r="V32" i="1"/>
  <c r="U33" i="1"/>
  <c r="AD66" i="1"/>
  <c r="U67" i="1"/>
  <c r="T56" i="1"/>
  <c r="AA31" i="1"/>
  <c r="R52" i="1"/>
  <c r="Q51" i="1"/>
  <c r="Q54" i="1"/>
  <c r="Q49" i="1"/>
  <c r="R28" i="1"/>
  <c r="Q30" i="1"/>
  <c r="Q55" i="1"/>
  <c r="AE58" i="1"/>
  <c r="AE48" i="1"/>
  <c r="R24" i="1"/>
  <c r="Q26" i="1"/>
  <c r="Q53" i="1"/>
  <c r="AE62" i="1"/>
  <c r="V19" i="1"/>
  <c r="U21" i="1"/>
  <c r="U50" i="1"/>
  <c r="AE66" i="1"/>
  <c r="W32" i="1"/>
  <c r="V33" i="1"/>
  <c r="V67" i="1"/>
  <c r="U56" i="1"/>
  <c r="AB31" i="1"/>
  <c r="S22" i="1"/>
  <c r="R51" i="1"/>
  <c r="R49" i="1"/>
  <c r="R54" i="1"/>
  <c r="S28" i="1"/>
  <c r="R30" i="1"/>
  <c r="AF58" i="1"/>
  <c r="AF48" i="1"/>
  <c r="R26" i="1"/>
  <c r="R53" i="1"/>
  <c r="S24" i="1"/>
  <c r="S23" i="1"/>
  <c r="S52" i="1"/>
  <c r="AF64" i="1"/>
  <c r="AF62" i="1"/>
  <c r="R55" i="1"/>
  <c r="W19" i="1"/>
  <c r="V21" i="1"/>
  <c r="V50" i="1"/>
  <c r="X32" i="1"/>
  <c r="W33" i="1"/>
  <c r="AF66" i="1"/>
  <c r="W67" i="1"/>
  <c r="V56" i="1"/>
  <c r="T22" i="1"/>
  <c r="S51" i="1"/>
  <c r="AC31" i="1"/>
  <c r="S49" i="1"/>
  <c r="S54" i="1"/>
  <c r="T28" i="1"/>
  <c r="S30" i="1"/>
  <c r="S55" i="1"/>
  <c r="AG58" i="1"/>
  <c r="AG48" i="1"/>
  <c r="S26" i="1"/>
  <c r="S53" i="1"/>
  <c r="T24" i="1"/>
  <c r="M51" i="1"/>
  <c r="AK51" i="1"/>
  <c r="T23" i="1"/>
  <c r="T52" i="1"/>
  <c r="AG62" i="1"/>
  <c r="X19" i="1"/>
  <c r="W21" i="1"/>
  <c r="W50" i="1"/>
  <c r="Y32" i="1"/>
  <c r="X33" i="1"/>
  <c r="AG64" i="1"/>
  <c r="AG66" i="1"/>
  <c r="X67" i="1"/>
  <c r="W56" i="1"/>
  <c r="AD31" i="1"/>
  <c r="U22" i="1"/>
  <c r="T51" i="1"/>
  <c r="T49" i="1"/>
  <c r="T54" i="1"/>
  <c r="U28" i="1"/>
  <c r="T30" i="1"/>
  <c r="T55" i="1"/>
  <c r="U24" i="1"/>
  <c r="T26" i="1"/>
  <c r="T53" i="1"/>
  <c r="U23" i="1"/>
  <c r="U52" i="1"/>
  <c r="Y19" i="1"/>
  <c r="X21" i="1"/>
  <c r="X50" i="1"/>
  <c r="Z32" i="1"/>
  <c r="Y33" i="1"/>
  <c r="Y67" i="1"/>
  <c r="X56" i="1"/>
  <c r="AE31" i="1"/>
  <c r="V22" i="1"/>
  <c r="V23" i="1"/>
  <c r="U51" i="1"/>
  <c r="U54" i="1"/>
  <c r="U49" i="1"/>
  <c r="V28" i="1"/>
  <c r="U30" i="1"/>
  <c r="U55" i="1"/>
  <c r="V24" i="1"/>
  <c r="U26" i="1"/>
  <c r="U53" i="1"/>
  <c r="W22" i="1"/>
  <c r="X22" i="1"/>
  <c r="Y22" i="1"/>
  <c r="Z22" i="1"/>
  <c r="AA22" i="1"/>
  <c r="AB22" i="1"/>
  <c r="AC22" i="1"/>
  <c r="AD22" i="1"/>
  <c r="AE22" i="1"/>
  <c r="AF22" i="1"/>
  <c r="AG22" i="1"/>
  <c r="Z19" i="1"/>
  <c r="Y21" i="1"/>
  <c r="Y50" i="1"/>
  <c r="AA32" i="1"/>
  <c r="Z33" i="1"/>
  <c r="Z67" i="1"/>
  <c r="Y56" i="1"/>
  <c r="V51" i="1"/>
  <c r="AF31" i="1"/>
  <c r="V49" i="1"/>
  <c r="V54" i="1"/>
  <c r="W28" i="1"/>
  <c r="V30" i="1"/>
  <c r="V55" i="1"/>
  <c r="V26" i="1"/>
  <c r="V53" i="1"/>
  <c r="W24" i="1"/>
  <c r="V52" i="1"/>
  <c r="W23" i="1"/>
  <c r="AA19" i="1"/>
  <c r="Z21" i="1"/>
  <c r="Z50" i="1"/>
  <c r="AB32" i="1"/>
  <c r="AA33" i="1"/>
  <c r="AA67" i="1"/>
  <c r="Z56" i="1"/>
  <c r="AG31" i="1"/>
  <c r="W51" i="1"/>
  <c r="W54" i="1"/>
  <c r="W49" i="1"/>
  <c r="X28" i="1"/>
  <c r="W30" i="1"/>
  <c r="W55" i="1"/>
  <c r="W26" i="1"/>
  <c r="W53" i="1"/>
  <c r="X24" i="1"/>
  <c r="W52" i="1"/>
  <c r="X23" i="1"/>
  <c r="AB19" i="1"/>
  <c r="AA21" i="1"/>
  <c r="AA50" i="1"/>
  <c r="AC32" i="1"/>
  <c r="AB33" i="1"/>
  <c r="AB67" i="1"/>
  <c r="AA56" i="1"/>
  <c r="X51" i="1"/>
  <c r="X49" i="1"/>
  <c r="X54" i="1"/>
  <c r="Y28" i="1"/>
  <c r="X30" i="1"/>
  <c r="X55" i="1"/>
  <c r="X26" i="1"/>
  <c r="X53" i="1"/>
  <c r="Y24" i="1"/>
  <c r="Y23" i="1"/>
  <c r="X52" i="1"/>
  <c r="AC19" i="1"/>
  <c r="AB21" i="1"/>
  <c r="AB50" i="1"/>
  <c r="AD32" i="1"/>
  <c r="AC33" i="1"/>
  <c r="AC67" i="1"/>
  <c r="AB56" i="1"/>
  <c r="Y51" i="1"/>
  <c r="Y49" i="1"/>
  <c r="Y54" i="1"/>
  <c r="Z28" i="1"/>
  <c r="Y30" i="1"/>
  <c r="Y55" i="1"/>
  <c r="Z24" i="1"/>
  <c r="Y26" i="1"/>
  <c r="Y53" i="1"/>
  <c r="Z23" i="1"/>
  <c r="Y52" i="1"/>
  <c r="AD19" i="1"/>
  <c r="AC21" i="1"/>
  <c r="AC50" i="1"/>
  <c r="AE32" i="1"/>
  <c r="AD33" i="1"/>
  <c r="AD67" i="1"/>
  <c r="AC56" i="1"/>
  <c r="Z51" i="1"/>
  <c r="Z54" i="1"/>
  <c r="Z49" i="1"/>
  <c r="AA28" i="1"/>
  <c r="Z30" i="1"/>
  <c r="Z55" i="1"/>
  <c r="Z26" i="1"/>
  <c r="Z53" i="1"/>
  <c r="AA24" i="1"/>
  <c r="AA23" i="1"/>
  <c r="AB23" i="1"/>
  <c r="AC23" i="1"/>
  <c r="AD23" i="1"/>
  <c r="AE23" i="1"/>
  <c r="AF23" i="1"/>
  <c r="AG23" i="1"/>
  <c r="Z52" i="1"/>
  <c r="AD21" i="1"/>
  <c r="AD50" i="1"/>
  <c r="AE19" i="1"/>
  <c r="AF32" i="1"/>
  <c r="AE33" i="1"/>
  <c r="AE67" i="1"/>
  <c r="AD56" i="1"/>
  <c r="AA51" i="1"/>
  <c r="AA49" i="1"/>
  <c r="AA54" i="1"/>
  <c r="AB28" i="1"/>
  <c r="AA30" i="1"/>
  <c r="AA55" i="1"/>
  <c r="AB24" i="1"/>
  <c r="AA26" i="1"/>
  <c r="AA53" i="1"/>
  <c r="AB52" i="1"/>
  <c r="AA52" i="1"/>
  <c r="AF19" i="1"/>
  <c r="AE21" i="1"/>
  <c r="AE50" i="1"/>
  <c r="AG32" i="1"/>
  <c r="AG33" i="1"/>
  <c r="AI33" i="1"/>
  <c r="AF33" i="1"/>
  <c r="AF67" i="1"/>
  <c r="AE56" i="1"/>
  <c r="AC52" i="1"/>
  <c r="AB51" i="1"/>
  <c r="AB54" i="1"/>
  <c r="AB49" i="1"/>
  <c r="AC28" i="1"/>
  <c r="AB30" i="1"/>
  <c r="AC24" i="1"/>
  <c r="AB26" i="1"/>
  <c r="AB53" i="1"/>
  <c r="I83" i="1"/>
  <c r="AB55" i="1"/>
  <c r="AG19" i="1"/>
  <c r="AG21" i="1"/>
  <c r="AG50" i="1"/>
  <c r="AI50" i="1"/>
  <c r="AT39" i="1"/>
  <c r="AF21" i="1"/>
  <c r="AF50" i="1"/>
  <c r="AG67" i="1"/>
  <c r="AG56" i="1"/>
  <c r="AI56" i="1"/>
  <c r="AF56" i="1"/>
  <c r="AD52" i="1"/>
  <c r="AC51" i="1"/>
  <c r="AC49" i="1"/>
  <c r="AC54" i="1"/>
  <c r="AD28" i="1"/>
  <c r="AC30" i="1"/>
  <c r="AC55" i="1"/>
  <c r="AD24" i="1"/>
  <c r="AC26" i="1"/>
  <c r="AC53" i="1"/>
  <c r="AE52" i="1"/>
  <c r="AD51" i="1"/>
  <c r="AD54" i="1"/>
  <c r="AD49" i="1"/>
  <c r="AE28" i="1"/>
  <c r="AD30" i="1"/>
  <c r="AD55" i="1"/>
  <c r="AD26" i="1"/>
  <c r="AD53" i="1"/>
  <c r="AE24" i="1"/>
  <c r="AF52" i="1"/>
  <c r="AE51" i="1"/>
  <c r="AE49" i="1"/>
  <c r="AE54" i="1"/>
  <c r="AF28" i="1"/>
  <c r="AE30" i="1"/>
  <c r="AE55" i="1"/>
  <c r="AE26" i="1"/>
  <c r="AE53" i="1"/>
  <c r="AF24" i="1"/>
  <c r="AI21" i="1"/>
  <c r="AF51" i="1"/>
  <c r="AI27" i="1"/>
  <c r="AF54" i="1"/>
  <c r="AI18" i="1"/>
  <c r="AF49" i="1"/>
  <c r="AG28" i="1"/>
  <c r="AF30" i="1"/>
  <c r="AF55" i="1"/>
  <c r="AF26" i="1"/>
  <c r="AF53" i="1"/>
  <c r="AG24" i="1"/>
  <c r="AI23" i="1"/>
  <c r="AG52" i="1"/>
  <c r="AI52" i="1"/>
  <c r="AI22" i="1"/>
  <c r="AG26" i="1"/>
  <c r="AI26" i="1"/>
  <c r="AG51" i="1"/>
  <c r="AG49" i="1"/>
  <c r="AI49" i="1"/>
  <c r="AG54" i="1"/>
  <c r="AI54" i="1"/>
  <c r="AG30" i="1"/>
  <c r="AI30" i="1"/>
  <c r="AT38" i="1"/>
  <c r="AI36" i="1"/>
  <c r="AT42" i="1"/>
  <c r="AI51" i="1"/>
  <c r="AT40" i="1"/>
  <c r="AG53" i="1"/>
  <c r="AG55" i="1"/>
  <c r="AI53" i="1"/>
  <c r="AT41" i="1"/>
  <c r="AT44" i="1"/>
  <c r="AI55" i="1"/>
  <c r="AT43" i="1"/>
  <c r="AI57" i="1"/>
  <c r="AS62" i="1"/>
  <c r="K40" i="2"/>
  <c r="AS61" i="1"/>
  <c r="I40" i="2"/>
  <c r="AT61" i="1"/>
  <c r="AT62" i="1"/>
  <c r="AS63" i="1"/>
  <c r="O40" i="2"/>
  <c r="AS64" i="1"/>
  <c r="L40" i="2"/>
  <c r="AT63" i="1"/>
</calcChain>
</file>

<file path=xl/sharedStrings.xml><?xml version="1.0" encoding="utf-8"?>
<sst xmlns="http://schemas.openxmlformats.org/spreadsheetml/2006/main" count="232" uniqueCount="155">
  <si>
    <t>Initial Allocation</t>
  </si>
  <si>
    <t>Establishment Charge</t>
  </si>
  <si>
    <t>Annual Charge</t>
  </si>
  <si>
    <t>Dealing charge</t>
  </si>
  <si>
    <t>Deals</t>
  </si>
  <si>
    <t>Currency</t>
  </si>
  <si>
    <t>Euro</t>
  </si>
  <si>
    <t>Currency or percentage</t>
  </si>
  <si>
    <t>%</t>
  </si>
  <si>
    <t>Assumptions</t>
  </si>
  <si>
    <t>Minimum Investment amount</t>
  </si>
  <si>
    <t>Maximum Investment amount</t>
  </si>
  <si>
    <t>Lowest growth rate</t>
  </si>
  <si>
    <t>Highest growth rate</t>
  </si>
  <si>
    <t>Generali</t>
  </si>
  <si>
    <t>quarterly</t>
  </si>
  <si>
    <t>How often</t>
  </si>
  <si>
    <t>annually</t>
  </si>
  <si>
    <t>Fund Charges</t>
  </si>
  <si>
    <t>£</t>
  </si>
  <si>
    <t>Generali Service Charge is annually reviewed in line with Irish earnings index</t>
  </si>
  <si>
    <t>Ascentric</t>
  </si>
  <si>
    <t>monthly</t>
  </si>
  <si>
    <t>RL PIMS is flexible product</t>
  </si>
  <si>
    <t>How many years?</t>
  </si>
  <si>
    <t>Fund AMC for active investments</t>
  </si>
  <si>
    <t>Percentage charges (%)</t>
  </si>
  <si>
    <t>Dealing charges</t>
  </si>
  <si>
    <t>Cost</t>
  </si>
  <si>
    <t>Rl PIMS first 10 dealings are free</t>
  </si>
  <si>
    <t>Admin / Portfolio (annual)</t>
  </si>
  <si>
    <t>Service Charge (annual)</t>
  </si>
  <si>
    <t>Investment</t>
  </si>
  <si>
    <t>Actual Cost</t>
  </si>
  <si>
    <t>1 Cost</t>
  </si>
  <si>
    <t>2 Cost</t>
  </si>
  <si>
    <t>3 Cost</t>
  </si>
  <si>
    <t>4 Cost</t>
  </si>
  <si>
    <t>5 Cost</t>
  </si>
  <si>
    <t>6 Cost</t>
  </si>
  <si>
    <t>7 Cost</t>
  </si>
  <si>
    <t>8 Cost</t>
  </si>
  <si>
    <t>9 Cost</t>
  </si>
  <si>
    <t>10 Cost</t>
  </si>
  <si>
    <t>11 Cost</t>
  </si>
  <si>
    <t>Growth Rate</t>
  </si>
  <si>
    <t>RETURN</t>
  </si>
  <si>
    <t>Term</t>
  </si>
  <si>
    <t>INPUT SHEET</t>
  </si>
  <si>
    <t>trades conducted annually (buy and sell will double)</t>
  </si>
  <si>
    <t>value of trades conducted (buy and sell will double)</t>
  </si>
  <si>
    <t>Fee's (Including QROPS Trustees)</t>
  </si>
  <si>
    <t>Output - no surrender</t>
  </si>
  <si>
    <t>Output - after surrender</t>
  </si>
  <si>
    <t>Surrender Charge</t>
  </si>
  <si>
    <t>Early Discontinuation</t>
  </si>
  <si>
    <t>How often reduces</t>
  </si>
  <si>
    <t>Amount reduces by</t>
  </si>
  <si>
    <t>RL PIMS 10 year set up with 10 year surrender term</t>
  </si>
  <si>
    <t>Comms</t>
  </si>
  <si>
    <t>Stopping your plan early</t>
  </si>
  <si>
    <t>Continuing with your plan</t>
  </si>
  <si>
    <t>Year 4 discontinuation comparison</t>
  </si>
  <si>
    <t>year 1 - X line chart</t>
  </si>
  <si>
    <t>Email</t>
  </si>
  <si>
    <t>Name</t>
  </si>
  <si>
    <t>Aisa Fees</t>
  </si>
  <si>
    <t>RL PIMS 5 year set up with 5 year surrender term</t>
  </si>
  <si>
    <t>If selected, then advice fees are 2%</t>
  </si>
  <si>
    <t>If selected, as a QROPS then the annual cost is £800</t>
  </si>
  <si>
    <t>Input area</t>
  </si>
  <si>
    <t>Initial Investment Amount</t>
  </si>
  <si>
    <t>Difference</t>
  </si>
  <si>
    <t>Min</t>
  </si>
  <si>
    <t>Max</t>
  </si>
  <si>
    <t>Input sheet data table</t>
  </si>
  <si>
    <t>Provider Fees</t>
  </si>
  <si>
    <t>Disclaimer</t>
  </si>
  <si>
    <t>These projections are not authorised as official by the companies and they take into account the additional charges for</t>
  </si>
  <si>
    <t>trading infrequently on the relevant platforms (buying and selling a share or collective), as well as fund charges incurred.</t>
  </si>
  <si>
    <t>The value of investments can go up as well as down and past performance should not be used as a guide to future returns.</t>
  </si>
  <si>
    <t>The actual growth received on an investment will depend on the performance of the underlying assets.</t>
  </si>
  <si>
    <t>The same growth rate is used for all providers, and that growth rate is selected by the user above.</t>
  </si>
  <si>
    <t>For full cash-flow proections and and an accurate guide to requirements then please contact us for projections that will</t>
  </si>
  <si>
    <t>be personalised to the user (you) with more accurate figures. These projections should not be used in isolation.</t>
  </si>
  <si>
    <t xml:space="preserve">             ** See Disclaimer section for information</t>
  </si>
  <si>
    <t>Telephone</t>
  </si>
  <si>
    <t>Your Name</t>
  </si>
  <si>
    <t>You@Youremail.com</t>
  </si>
  <si>
    <t>01234567890</t>
  </si>
  <si>
    <t>Fee change 2%</t>
  </si>
  <si>
    <t>USD ($)</t>
  </si>
  <si>
    <t>GBP (£)</t>
  </si>
  <si>
    <t>EURO (€)</t>
  </si>
  <si>
    <t>User input:</t>
  </si>
  <si>
    <t>Currency In</t>
  </si>
  <si>
    <t>Currency Out</t>
  </si>
  <si>
    <t>Currency Output</t>
  </si>
  <si>
    <t xml:space="preserve">    Input Currency</t>
  </si>
  <si>
    <t>Years</t>
  </si>
  <si>
    <t>£/€</t>
  </si>
  <si>
    <t>£/$</t>
  </si>
  <si>
    <t>€/$</t>
  </si>
  <si>
    <t>Lowest Provider Return</t>
  </si>
  <si>
    <t>for your own personal tax on realised funds, or at the point of access. You must contact a local accountant for personal taxes.</t>
  </si>
  <si>
    <t>Exchange rates (July 2014) are £/$ 1.66, £/€ 1.22, €/$ 1.37</t>
  </si>
  <si>
    <t>Impact of ongoing charges factor</t>
  </si>
  <si>
    <t>Impact of ongoing charges year 2 onwards</t>
  </si>
  <si>
    <t>Hallmark</t>
  </si>
  <si>
    <t>Royal Skandia</t>
  </si>
  <si>
    <t>Royal London</t>
  </si>
  <si>
    <t>Hansard</t>
  </si>
  <si>
    <t>Friends Provident</t>
  </si>
  <si>
    <t>Hansard 2 years</t>
  </si>
  <si>
    <t>Hansard after 2</t>
  </si>
  <si>
    <t>Years Completed</t>
  </si>
  <si>
    <t>Years Left</t>
  </si>
  <si>
    <t>Royal London&lt;2</t>
  </si>
  <si>
    <t>Royal London&gt;2</t>
  </si>
  <si>
    <t>F Prov&lt;2</t>
  </si>
  <si>
    <t>F Prov&gt;2</t>
  </si>
  <si>
    <t>Generali Vision</t>
  </si>
  <si>
    <t>Generali&lt;2</t>
  </si>
  <si>
    <t>Generali&gt;2</t>
  </si>
  <si>
    <t>Hansard Bonus</t>
  </si>
  <si>
    <t>Generali Bonus</t>
  </si>
  <si>
    <t>Invest Monthly</t>
  </si>
  <si>
    <t>Total Contribution</t>
  </si>
  <si>
    <t>Extra Growth you receive from EME</t>
  </si>
  <si>
    <t>Company</t>
  </si>
  <si>
    <t>Provider</t>
  </si>
  <si>
    <t>t</t>
  </si>
  <si>
    <t xml:space="preserve">Projected Value </t>
  </si>
  <si>
    <t xml:space="preserve">Surrender Value </t>
  </si>
  <si>
    <t>EXAMPLE VALUATION</t>
  </si>
  <si>
    <t>ORIGINAL Term</t>
  </si>
  <si>
    <t>Aisa regular fee</t>
  </si>
  <si>
    <t>As published in Generali Vision doc "Plan for Life"</t>
  </si>
  <si>
    <t>No Establishment fee /Surrender charge. €48 annual fee, 0.3% annual charge taken quarterly Fund charges 0.9% (Inception fee £500)</t>
  </si>
  <si>
    <t>As published in Hansard  "Capital Builder" - Regular savings plan</t>
  </si>
  <si>
    <t>As published in Royal Skandia "Managed Pension Account" - Regular savings plan</t>
  </si>
  <si>
    <t>As published in Royal London "Quantum" - Regular savings plan</t>
  </si>
  <si>
    <t>As published in Friends Provident International doc "Premier Advance" - Regular savings plan</t>
  </si>
  <si>
    <t>No Establishment fee /Surrender charge. 0.25% annual charge taken monthly. Fund charges 0.6% (Inception fee £500) - only available in sterling</t>
  </si>
  <si>
    <t>Royal Skandia EWA</t>
  </si>
  <si>
    <t>Bid / Offer Fund Spread</t>
  </si>
  <si>
    <t>If the option "Ongoing Service Fee" is ticked then it shows the projections taking into account an annual investment fee of 1%</t>
  </si>
  <si>
    <t xml:space="preserve">If "Fund Growth Taxed" is ticked then it allows for CGT/Income &amp;Corporation Tax on annual growth within the funds only. It does NOT allow </t>
  </si>
  <si>
    <t>Some companies have bid/offer spreads on their funds (A charge between the buying and selling of funds). You can select between 0-5%.</t>
  </si>
  <si>
    <t>Total Return with EME</t>
  </si>
  <si>
    <t>Welcome to our interactive investment planning tool. It provides you with "insider knowledge" on the impact of charges. Go to "Input area", enter your investment value, your target growth rate (before charges) and how long (term) you wish to invest for. Then you can compare the output in your chosen currency. It provides 7 projections; 5 of which are the most popularly recommended offshore bond products (OMI (was Royal Skandia), Generali, Royal London, Hansard, Friends) and 2 of which are UK based. These projections are at  identical gross growth rates and so the differences are down to the impact of charges. You can also assess a plan already commenced (Beware - put the correct ORIGINAL term into the calculator as surrender values alter depending on this - then put the number of full years completed.)</t>
  </si>
  <si>
    <t>OMI EWA</t>
  </si>
  <si>
    <t>OMI (Royal Skandia)</t>
  </si>
  <si>
    <t>© Aisa Direct Ltd 2014 (worldwide)</t>
  </si>
  <si>
    <t>If you need any assistance with this, or further advice regarding your investment, please call us on +44 (0) 1225 436200, or email us at                            help@tailormadeadvice.com                               © Aisa Direct Ltd 2014 (worldwide)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</si>
</sst>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0_ ;\-#,##0\ "/>
    <numFmt numFmtId="165" formatCode="0.0%"/>
    <numFmt numFmtId="166" formatCode="0.0"/>
    <numFmt numFmtId="167" formatCode="\£#,##0.00"/>
  </numFmts>
  <fonts count="10"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8"/>
      <color rgb="FF000000"/>
      <name val="Tahoma"/>
      <family val="2"/>
    </font>
    <font>
      <sz val="10"/>
      <color theme="1"/>
      <name val="Calibri"/>
      <family val="2"/>
      <scheme val="minor"/>
    </font>
    <font>
      <b/>
      <sz val="11.5"/>
      <color theme="1"/>
      <name val="Calibri"/>
      <family val="2"/>
      <scheme val="minor"/>
    </font>
    <font>
      <sz val="11"/>
      <color theme="0"/>
      <name val="Calibri"/>
      <family val="2"/>
      <scheme val="minor"/>
    </font>
    <font>
      <sz val="10.5"/>
      <color theme="1"/>
      <name val="Calibri"/>
      <family val="2"/>
      <scheme val="minor"/>
    </font>
    <font>
      <b/>
      <sz val="11"/>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7C80"/>
        <bgColor indexed="64"/>
      </patternFill>
    </fill>
    <fill>
      <patternFill patternType="solid">
        <fgColor theme="6" tint="0.39994506668294322"/>
        <bgColor indexed="64"/>
      </patternFill>
    </fill>
    <fill>
      <patternFill patternType="solid">
        <fgColor indexed="44"/>
        <bgColor indexed="64"/>
      </patternFill>
    </fill>
    <fill>
      <patternFill patternType="solid">
        <fgColor indexed="9"/>
        <bgColor indexed="64"/>
      </patternFill>
    </fill>
    <fill>
      <patternFill patternType="solid">
        <fgColor theme="6" tint="0.59999389629810485"/>
        <bgColor indexed="64"/>
      </patternFill>
    </fill>
    <fill>
      <patternFill patternType="solid">
        <fgColor theme="6" tint="0.39997558519241921"/>
        <bgColor indexed="64"/>
      </patternFill>
    </fill>
  </fills>
  <borders count="3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s>
  <cellStyleXfs count="1">
    <xf numFmtId="0" fontId="0" fillId="0" borderId="0"/>
  </cellStyleXfs>
  <cellXfs count="154">
    <xf numFmtId="0" fontId="0" fillId="0" borderId="0" xfId="0"/>
    <xf numFmtId="0" fontId="1" fillId="6" borderId="12" xfId="0" applyNumberFormat="1" applyFont="1" applyFill="1" applyBorder="1" applyAlignment="1" applyProtection="1">
      <alignment horizontal="right" vertical="center"/>
      <protection locked="0"/>
    </xf>
    <xf numFmtId="43" fontId="1" fillId="6" borderId="12" xfId="0" applyNumberFormat="1" applyFont="1" applyFill="1" applyBorder="1" applyAlignment="1" applyProtection="1">
      <alignment horizontal="right" vertical="center"/>
      <protection locked="0"/>
    </xf>
    <xf numFmtId="0" fontId="0" fillId="2" borderId="0" xfId="0" applyFill="1" applyProtection="1"/>
    <xf numFmtId="0" fontId="0" fillId="2" borderId="0" xfId="0" applyFill="1" applyBorder="1" applyProtection="1"/>
    <xf numFmtId="0" fontId="0" fillId="2" borderId="0" xfId="0" applyFill="1" applyAlignment="1" applyProtection="1"/>
    <xf numFmtId="0" fontId="0" fillId="2" borderId="0" xfId="0" applyFill="1" applyBorder="1" applyAlignment="1" applyProtection="1">
      <alignment wrapText="1"/>
    </xf>
    <xf numFmtId="0" fontId="0" fillId="2" borderId="17" xfId="0" applyFill="1" applyBorder="1" applyAlignment="1" applyProtection="1">
      <alignment vertical="top" wrapText="1"/>
    </xf>
    <xf numFmtId="0" fontId="0" fillId="2" borderId="17" xfId="0" applyFill="1" applyBorder="1" applyAlignment="1" applyProtection="1"/>
    <xf numFmtId="0" fontId="1" fillId="7" borderId="19" xfId="0" applyFont="1" applyFill="1" applyBorder="1" applyAlignment="1" applyProtection="1">
      <alignment horizontal="center" vertical="center"/>
    </xf>
    <xf numFmtId="0" fontId="0" fillId="7" borderId="7" xfId="0" applyFill="1" applyBorder="1" applyAlignment="1" applyProtection="1">
      <alignment wrapText="1"/>
    </xf>
    <xf numFmtId="0" fontId="0" fillId="7" borderId="13" xfId="0" applyFont="1" applyFill="1" applyBorder="1" applyAlignment="1" applyProtection="1">
      <alignment horizontal="center"/>
    </xf>
    <xf numFmtId="0" fontId="0" fillId="7" borderId="13" xfId="0" applyFont="1" applyFill="1" applyBorder="1" applyAlignment="1" applyProtection="1"/>
    <xf numFmtId="0" fontId="0" fillId="7" borderId="6" xfId="0" applyFill="1" applyBorder="1" applyProtection="1"/>
    <xf numFmtId="0" fontId="0" fillId="7" borderId="15" xfId="0" applyFill="1" applyBorder="1" applyProtection="1"/>
    <xf numFmtId="0" fontId="0" fillId="7" borderId="7" xfId="0" applyFill="1" applyBorder="1" applyProtection="1"/>
    <xf numFmtId="49" fontId="1" fillId="7" borderId="13" xfId="0" applyNumberFormat="1" applyFont="1" applyFill="1" applyBorder="1" applyAlignment="1" applyProtection="1">
      <alignment horizontal="right"/>
    </xf>
    <xf numFmtId="0" fontId="0" fillId="7" borderId="13" xfId="0" applyFill="1" applyBorder="1" applyAlignment="1" applyProtection="1">
      <alignment horizontal="right"/>
    </xf>
    <xf numFmtId="0" fontId="0" fillId="7" borderId="8" xfId="0" applyFill="1" applyBorder="1" applyProtection="1"/>
    <xf numFmtId="49" fontId="1" fillId="7" borderId="0" xfId="0" applyNumberFormat="1" applyFont="1" applyFill="1" applyBorder="1" applyAlignment="1" applyProtection="1">
      <alignment horizontal="right"/>
    </xf>
    <xf numFmtId="0" fontId="0" fillId="7" borderId="0" xfId="0" applyFill="1" applyBorder="1" applyAlignment="1" applyProtection="1">
      <alignment horizontal="right"/>
    </xf>
    <xf numFmtId="0" fontId="1" fillId="7" borderId="7" xfId="0" quotePrefix="1" applyFont="1" applyFill="1" applyBorder="1" applyAlignment="1" applyProtection="1">
      <alignment horizontal="left"/>
    </xf>
    <xf numFmtId="0" fontId="1" fillId="7" borderId="0" xfId="0" applyFont="1" applyFill="1" applyBorder="1" applyAlignment="1" applyProtection="1">
      <alignment horizontal="right"/>
    </xf>
    <xf numFmtId="0" fontId="0" fillId="7" borderId="0" xfId="0" applyFill="1" applyBorder="1" applyProtection="1"/>
    <xf numFmtId="0" fontId="0" fillId="11" borderId="14" xfId="0" applyFont="1" applyFill="1" applyBorder="1" applyAlignment="1" applyProtection="1">
      <alignment horizontal="left" vertical="center"/>
    </xf>
    <xf numFmtId="0" fontId="0" fillId="7" borderId="0" xfId="0" applyFill="1" applyProtection="1"/>
    <xf numFmtId="0" fontId="1" fillId="11" borderId="14" xfId="0" applyFont="1" applyFill="1" applyBorder="1" applyAlignment="1" applyProtection="1">
      <alignment horizontal="left" vertical="center"/>
    </xf>
    <xf numFmtId="0" fontId="2" fillId="7" borderId="9" xfId="0" applyFont="1" applyFill="1" applyBorder="1" applyProtection="1"/>
    <xf numFmtId="0" fontId="0" fillId="7" borderId="10" xfId="0" applyFill="1" applyBorder="1" applyProtection="1"/>
    <xf numFmtId="0" fontId="0" fillId="7" borderId="11" xfId="0" applyFill="1" applyBorder="1" applyProtection="1"/>
    <xf numFmtId="0" fontId="0" fillId="2" borderId="0" xfId="0" applyFill="1" applyBorder="1" applyAlignment="1" applyProtection="1"/>
    <xf numFmtId="0" fontId="0" fillId="8" borderId="12" xfId="0" applyFill="1" applyBorder="1" applyProtection="1"/>
    <xf numFmtId="0" fontId="0" fillId="8" borderId="13" xfId="0" applyFill="1" applyBorder="1" applyProtection="1"/>
    <xf numFmtId="0" fontId="2" fillId="5" borderId="12" xfId="0" applyFont="1" applyFill="1" applyBorder="1" applyProtection="1"/>
    <xf numFmtId="0" fontId="0" fillId="5" borderId="13" xfId="0" applyFill="1" applyBorder="1" applyProtection="1"/>
    <xf numFmtId="0" fontId="0" fillId="5" borderId="16" xfId="0" applyFill="1" applyBorder="1" applyProtection="1"/>
    <xf numFmtId="0" fontId="0" fillId="5" borderId="17" xfId="0" applyFill="1" applyBorder="1" applyProtection="1"/>
    <xf numFmtId="0" fontId="0" fillId="5" borderId="6" xfId="0" applyFill="1" applyBorder="1" applyProtection="1"/>
    <xf numFmtId="0" fontId="0" fillId="5" borderId="7" xfId="0" applyFill="1" applyBorder="1" applyProtection="1"/>
    <xf numFmtId="0" fontId="0" fillId="5" borderId="0" xfId="0" applyFill="1" applyBorder="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0" fillId="5" borderId="11" xfId="0" applyFill="1" applyBorder="1" applyProtection="1"/>
    <xf numFmtId="0" fontId="0" fillId="2" borderId="0" xfId="0" applyFill="1" applyBorder="1" applyAlignment="1" applyProtection="1">
      <alignment horizontal="center" vertical="center"/>
    </xf>
    <xf numFmtId="3" fontId="0" fillId="15" borderId="21" xfId="0" applyNumberFormat="1" applyFill="1" applyBorder="1" applyAlignment="1" applyProtection="1">
      <alignment horizontal="center"/>
    </xf>
    <xf numFmtId="0" fontId="0" fillId="8" borderId="3" xfId="0" applyFill="1" applyBorder="1" applyProtection="1"/>
    <xf numFmtId="0" fontId="0" fillId="8" borderId="4" xfId="0" applyFill="1" applyBorder="1" applyProtection="1"/>
    <xf numFmtId="0" fontId="3" fillId="3" borderId="26" xfId="0" applyFont="1" applyFill="1" applyBorder="1" applyAlignment="1" applyProtection="1"/>
    <xf numFmtId="0" fontId="0" fillId="5" borderId="27" xfId="0" applyFill="1" applyBorder="1" applyProtection="1"/>
    <xf numFmtId="0" fontId="3" fillId="3" borderId="18" xfId="0" applyFont="1" applyFill="1" applyBorder="1" applyAlignment="1" applyProtection="1"/>
    <xf numFmtId="0" fontId="2" fillId="5" borderId="28" xfId="0" applyFont="1" applyFill="1" applyBorder="1" applyProtection="1"/>
    <xf numFmtId="0" fontId="0" fillId="5" borderId="29" xfId="0" applyFill="1" applyBorder="1" applyProtection="1"/>
    <xf numFmtId="0" fontId="0" fillId="5" borderId="30" xfId="0" applyFill="1" applyBorder="1" applyProtection="1"/>
    <xf numFmtId="0" fontId="0" fillId="13" borderId="0" xfId="0" applyFill="1" applyBorder="1" applyProtection="1"/>
    <xf numFmtId="0" fontId="0" fillId="2" borderId="0" xfId="0" applyFill="1" applyBorder="1" applyAlignment="1" applyProtection="1">
      <alignment vertical="top" wrapText="1"/>
    </xf>
    <xf numFmtId="0" fontId="0" fillId="13" borderId="0" xfId="0" applyFill="1" applyProtection="1"/>
    <xf numFmtId="0" fontId="0" fillId="6" borderId="21" xfId="0" applyFill="1" applyBorder="1" applyAlignment="1" applyProtection="1">
      <alignment horizontal="right"/>
    </xf>
    <xf numFmtId="3" fontId="0" fillId="11" borderId="24" xfId="0" applyNumberFormat="1" applyFill="1" applyBorder="1" applyAlignment="1" applyProtection="1">
      <alignment horizontal="center"/>
    </xf>
    <xf numFmtId="0" fontId="5" fillId="7" borderId="1" xfId="0" applyFont="1" applyFill="1" applyBorder="1" applyProtection="1"/>
    <xf numFmtId="0" fontId="0" fillId="7" borderId="2" xfId="0" applyFill="1" applyBorder="1" applyProtection="1"/>
    <xf numFmtId="0" fontId="1" fillId="6" borderId="31" xfId="0" applyNumberFormat="1" applyFont="1" applyFill="1" applyBorder="1" applyAlignment="1" applyProtection="1">
      <alignment horizontal="right" vertical="center"/>
      <protection locked="0"/>
    </xf>
    <xf numFmtId="0" fontId="1" fillId="11" borderId="30" xfId="0" applyFont="1" applyFill="1" applyBorder="1" applyAlignment="1" applyProtection="1">
      <alignment horizontal="left" vertical="center"/>
    </xf>
    <xf numFmtId="0" fontId="0" fillId="4" borderId="4" xfId="0" applyFill="1" applyBorder="1" applyProtection="1"/>
    <xf numFmtId="0" fontId="0" fillId="4" borderId="5" xfId="0" applyFill="1" applyBorder="1" applyProtection="1"/>
    <xf numFmtId="0" fontId="0" fillId="4" borderId="13" xfId="0" applyFill="1" applyBorder="1" applyProtection="1"/>
    <xf numFmtId="0" fontId="0" fillId="4" borderId="14" xfId="0" applyFill="1" applyBorder="1" applyProtection="1"/>
    <xf numFmtId="2" fontId="0" fillId="11" borderId="12" xfId="0" applyNumberFormat="1" applyFill="1" applyBorder="1" applyAlignment="1" applyProtection="1">
      <alignment horizontal="right"/>
    </xf>
    <xf numFmtId="43" fontId="0" fillId="11" borderId="14" xfId="0" applyNumberFormat="1" applyFill="1" applyBorder="1" applyAlignment="1" applyProtection="1">
      <alignment horizontal="left" vertical="center"/>
    </xf>
    <xf numFmtId="43" fontId="5" fillId="9" borderId="14" xfId="0" applyNumberFormat="1" applyFont="1" applyFill="1" applyBorder="1" applyAlignment="1" applyProtection="1">
      <alignment horizontal="left" vertical="center"/>
    </xf>
    <xf numFmtId="0" fontId="0" fillId="2" borderId="0" xfId="0" applyFill="1" applyBorder="1" applyAlignment="1"/>
    <xf numFmtId="0" fontId="7" fillId="2" borderId="0" xfId="0" applyFont="1" applyFill="1"/>
    <xf numFmtId="0" fontId="7" fillId="2" borderId="0" xfId="0" applyFont="1" applyFill="1" applyBorder="1" applyAlignment="1">
      <alignment horizontal="center" vertical="center" textRotation="80" wrapText="1"/>
    </xf>
    <xf numFmtId="0" fontId="7" fillId="2" borderId="0" xfId="0" applyFont="1" applyFill="1" applyBorder="1" applyAlignment="1">
      <alignment horizontal="center" vertical="center" wrapText="1"/>
    </xf>
    <xf numFmtId="0" fontId="7" fillId="2" borderId="0" xfId="0" applyFont="1" applyFill="1" applyBorder="1"/>
    <xf numFmtId="0" fontId="7" fillId="2" borderId="0" xfId="0" applyFont="1" applyFill="1" applyBorder="1" applyAlignment="1">
      <alignment horizontal="center"/>
    </xf>
    <xf numFmtId="0" fontId="7" fillId="2" borderId="0" xfId="0" applyFont="1" applyFill="1" applyBorder="1" applyAlignment="1">
      <alignment horizontal="left"/>
    </xf>
    <xf numFmtId="44" fontId="7" fillId="2" borderId="0" xfId="0" applyNumberFormat="1" applyFont="1" applyFill="1" applyBorder="1" applyAlignment="1">
      <alignment horizontal="center"/>
    </xf>
    <xf numFmtId="164" fontId="7" fillId="2" borderId="0" xfId="0" applyNumberFormat="1" applyFont="1" applyFill="1" applyBorder="1" applyAlignment="1">
      <alignment horizontal="center"/>
    </xf>
    <xf numFmtId="41" fontId="7" fillId="2" borderId="0" xfId="0" applyNumberFormat="1" applyFont="1" applyFill="1" applyBorder="1" applyAlignment="1">
      <alignment horizontal="center"/>
    </xf>
    <xf numFmtId="41" fontId="7" fillId="2" borderId="0" xfId="0" applyNumberFormat="1"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43" fontId="7" fillId="2" borderId="0" xfId="0" applyNumberFormat="1" applyFont="1" applyFill="1" applyBorder="1" applyAlignment="1">
      <alignment horizontal="center"/>
    </xf>
    <xf numFmtId="0" fontId="7" fillId="2" borderId="0" xfId="0" applyFont="1" applyFill="1" applyBorder="1" applyAlignment="1"/>
    <xf numFmtId="167" fontId="7" fillId="2" borderId="0" xfId="0" applyNumberFormat="1" applyFont="1" applyFill="1" applyBorder="1" applyAlignment="1">
      <alignment horizontal="center"/>
    </xf>
    <xf numFmtId="167" fontId="7" fillId="2" borderId="0" xfId="0" applyNumberFormat="1" applyFont="1" applyFill="1" applyBorder="1" applyProtection="1"/>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center"/>
    </xf>
    <xf numFmtId="1" fontId="7" fillId="2" borderId="0" xfId="0" applyNumberFormat="1" applyFont="1" applyFill="1" applyBorder="1"/>
    <xf numFmtId="9" fontId="7" fillId="2" borderId="0" xfId="0" applyNumberFormat="1" applyFont="1" applyFill="1" applyBorder="1" applyAlignment="1">
      <alignment horizontal="center"/>
    </xf>
    <xf numFmtId="0" fontId="9" fillId="2" borderId="0" xfId="0" applyFont="1" applyFill="1" applyBorder="1" applyAlignment="1">
      <alignment horizontal="center"/>
    </xf>
    <xf numFmtId="0" fontId="9" fillId="2" borderId="0" xfId="0" applyFont="1" applyFill="1" applyBorder="1"/>
    <xf numFmtId="0" fontId="7" fillId="2" borderId="0" xfId="0" applyFont="1" applyFill="1" applyBorder="1" applyProtection="1">
      <protection locked="0"/>
    </xf>
    <xf numFmtId="2" fontId="7" fillId="2" borderId="0" xfId="0" applyNumberFormat="1" applyFont="1" applyFill="1" applyBorder="1" applyAlignment="1" applyProtection="1">
      <alignment horizontal="center"/>
      <protection locked="0"/>
    </xf>
    <xf numFmtId="0" fontId="7" fillId="2" borderId="0" xfId="0" applyFont="1" applyFill="1" applyBorder="1" applyProtection="1"/>
    <xf numFmtId="0" fontId="9" fillId="2" borderId="0" xfId="0" applyFont="1" applyFill="1" applyBorder="1" applyProtection="1"/>
    <xf numFmtId="167" fontId="7" fillId="2" borderId="0" xfId="0" applyNumberFormat="1" applyFont="1" applyFill="1" applyBorder="1"/>
    <xf numFmtId="167" fontId="7" fillId="2" borderId="0" xfId="0" applyNumberFormat="1" applyFont="1" applyFill="1" applyBorder="1" applyAlignment="1">
      <alignment horizontal="left"/>
    </xf>
    <xf numFmtId="0" fontId="7" fillId="2" borderId="0" xfId="0" applyNumberFormat="1" applyFont="1" applyFill="1" applyBorder="1" applyProtection="1"/>
    <xf numFmtId="167" fontId="7" fillId="2" borderId="0" xfId="0" applyNumberFormat="1" applyFont="1" applyFill="1" applyBorder="1" applyAlignment="1" applyProtection="1"/>
    <xf numFmtId="167" fontId="9" fillId="2" borderId="0" xfId="0" applyNumberFormat="1" applyFont="1" applyFill="1" applyBorder="1" applyProtection="1"/>
    <xf numFmtId="43" fontId="7" fillId="2" borderId="0" xfId="0" applyNumberFormat="1" applyFont="1" applyFill="1" applyBorder="1" applyProtection="1"/>
    <xf numFmtId="0" fontId="7" fillId="2" borderId="0" xfId="0" applyNumberFormat="1" applyFont="1" applyFill="1" applyBorder="1"/>
    <xf numFmtId="43" fontId="7" fillId="2" borderId="0" xfId="0" applyNumberFormat="1" applyFont="1" applyFill="1" applyBorder="1"/>
    <xf numFmtId="2" fontId="7" fillId="2" borderId="0" xfId="0" applyNumberFormat="1" applyFont="1" applyFill="1" applyBorder="1" applyAlignment="1">
      <alignment horizontal="left"/>
    </xf>
    <xf numFmtId="2" fontId="7" fillId="2" borderId="0" xfId="0" applyNumberFormat="1" applyFont="1" applyFill="1" applyBorder="1"/>
    <xf numFmtId="165" fontId="1" fillId="12" borderId="12" xfId="0" applyNumberFormat="1" applyFont="1" applyFill="1" applyBorder="1" applyAlignment="1" applyProtection="1">
      <alignment horizontal="center" vertical="center"/>
      <protection locked="0"/>
    </xf>
    <xf numFmtId="166" fontId="1" fillId="12" borderId="13" xfId="0" applyNumberFormat="1" applyFont="1" applyFill="1" applyBorder="1" applyAlignment="1" applyProtection="1">
      <alignment horizontal="center" vertical="center"/>
      <protection locked="0"/>
    </xf>
    <xf numFmtId="166" fontId="1" fillId="12" borderId="13" xfId="0" applyNumberFormat="1" applyFont="1" applyFill="1" applyBorder="1" applyAlignment="1" applyProtection="1">
      <alignment horizontal="right" vertical="center"/>
      <protection locked="0"/>
    </xf>
    <xf numFmtId="43" fontId="6" fillId="12" borderId="14" xfId="0" applyNumberFormat="1" applyFont="1" applyFill="1" applyBorder="1" applyAlignment="1" applyProtection="1">
      <alignment horizontal="left" vertical="center"/>
      <protection locked="0"/>
    </xf>
    <xf numFmtId="0" fontId="0" fillId="15" borderId="20" xfId="0" applyFill="1" applyBorder="1" applyAlignment="1" applyProtection="1">
      <alignment horizontal="center"/>
    </xf>
    <xf numFmtId="0" fontId="0" fillId="14" borderId="21" xfId="0" applyFill="1" applyBorder="1" applyAlignment="1" applyProtection="1">
      <alignment horizontal="right"/>
    </xf>
    <xf numFmtId="0" fontId="0" fillId="14" borderId="22" xfId="0" applyFill="1" applyBorder="1" applyAlignment="1" applyProtection="1">
      <alignment horizontal="right"/>
    </xf>
    <xf numFmtId="0" fontId="0" fillId="14" borderId="23" xfId="0" applyFill="1" applyBorder="1" applyAlignment="1" applyProtection="1">
      <alignment horizontal="right"/>
    </xf>
    <xf numFmtId="0" fontId="0" fillId="6" borderId="22" xfId="0" applyFill="1" applyBorder="1" applyAlignment="1" applyProtection="1">
      <alignment horizontal="right"/>
    </xf>
    <xf numFmtId="0" fontId="0" fillId="6" borderId="23" xfId="0" applyFill="1" applyBorder="1" applyAlignment="1" applyProtection="1">
      <alignment horizontal="right"/>
    </xf>
    <xf numFmtId="0" fontId="0" fillId="14" borderId="25" xfId="0" applyFill="1" applyBorder="1" applyAlignment="1" applyProtection="1">
      <alignment horizontal="center"/>
    </xf>
    <xf numFmtId="0" fontId="0" fillId="14" borderId="23" xfId="0" applyFill="1" applyBorder="1" applyAlignment="1" applyProtection="1">
      <alignment horizontal="center"/>
    </xf>
    <xf numFmtId="3" fontId="0" fillId="9" borderId="12" xfId="0" applyNumberFormat="1" applyFill="1" applyBorder="1" applyAlignment="1" applyProtection="1">
      <alignment horizontal="right" vertical="center"/>
    </xf>
    <xf numFmtId="0" fontId="0" fillId="0" borderId="13" xfId="0" applyBorder="1" applyAlignment="1">
      <alignment horizontal="right" vertical="center"/>
    </xf>
    <xf numFmtId="0" fontId="1" fillId="6" borderId="12" xfId="0" applyFont="1" applyFill="1" applyBorder="1" applyAlignment="1" applyProtection="1">
      <alignment horizontal="center" vertical="center"/>
    </xf>
    <xf numFmtId="0" fontId="1" fillId="6" borderId="14" xfId="0" applyFont="1" applyFill="1" applyBorder="1" applyAlignment="1" applyProtection="1">
      <alignment horizontal="center" vertical="center"/>
    </xf>
    <xf numFmtId="0" fontId="0" fillId="5" borderId="16" xfId="0" applyNumberFormat="1" applyFill="1" applyBorder="1" applyAlignment="1" applyProtection="1">
      <alignment vertical="center" wrapText="1"/>
    </xf>
    <xf numFmtId="0" fontId="0" fillId="5" borderId="17" xfId="0" applyNumberFormat="1" applyFill="1" applyBorder="1" applyAlignment="1" applyProtection="1">
      <alignment vertical="center" wrapText="1"/>
    </xf>
    <xf numFmtId="0" fontId="0" fillId="5" borderId="6" xfId="0" applyNumberFormat="1" applyFill="1" applyBorder="1" applyAlignment="1" applyProtection="1">
      <alignment vertical="center" wrapText="1"/>
    </xf>
    <xf numFmtId="0" fontId="0" fillId="5" borderId="7" xfId="0" applyNumberFormat="1" applyFill="1" applyBorder="1" applyAlignment="1" applyProtection="1">
      <alignment vertical="center" wrapText="1"/>
    </xf>
    <xf numFmtId="0" fontId="0" fillId="5" borderId="0" xfId="0" applyNumberFormat="1" applyFill="1" applyBorder="1" applyAlignment="1" applyProtection="1">
      <alignment vertical="center" wrapText="1"/>
    </xf>
    <xf numFmtId="0" fontId="0" fillId="5" borderId="8" xfId="0" applyNumberFormat="1" applyFill="1" applyBorder="1" applyAlignment="1" applyProtection="1">
      <alignment vertical="center" wrapText="1"/>
    </xf>
    <xf numFmtId="0" fontId="0" fillId="5" borderId="9" xfId="0" applyNumberFormat="1" applyFill="1" applyBorder="1" applyAlignment="1" applyProtection="1">
      <alignment vertical="center" wrapText="1"/>
    </xf>
    <xf numFmtId="0" fontId="0" fillId="5" borderId="10" xfId="0" applyNumberFormat="1" applyFill="1" applyBorder="1" applyAlignment="1" applyProtection="1">
      <alignment vertical="center" wrapText="1"/>
    </xf>
    <xf numFmtId="0" fontId="0" fillId="12" borderId="10" xfId="0" applyNumberFormat="1" applyFill="1" applyBorder="1" applyAlignment="1" applyProtection="1">
      <alignment vertical="center" wrapText="1"/>
    </xf>
    <xf numFmtId="0" fontId="0" fillId="5" borderId="11" xfId="0" applyNumberFormat="1" applyFill="1" applyBorder="1" applyAlignment="1" applyProtection="1">
      <alignment vertical="center" wrapText="1"/>
    </xf>
    <xf numFmtId="49" fontId="1" fillId="6" borderId="12" xfId="0" applyNumberFormat="1" applyFont="1" applyFill="1" applyBorder="1" applyAlignment="1" applyProtection="1">
      <alignment horizontal="right"/>
      <protection locked="0"/>
    </xf>
    <xf numFmtId="0" fontId="0" fillId="0" borderId="14" xfId="0" applyBorder="1" applyAlignment="1" applyProtection="1">
      <alignment horizontal="right"/>
      <protection locked="0"/>
    </xf>
    <xf numFmtId="49" fontId="1" fillId="6" borderId="12" xfId="0" applyNumberFormat="1" applyFont="1" applyFill="1" applyBorder="1" applyAlignment="1" applyProtection="1">
      <alignment horizontal="right" wrapText="1"/>
      <protection locked="0"/>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6" borderId="12" xfId="0" applyNumberFormat="1" applyFont="1" applyFill="1" applyBorder="1" applyAlignment="1" applyProtection="1">
      <alignment horizontal="center" vertical="center"/>
      <protection locked="0"/>
    </xf>
    <xf numFmtId="0" fontId="1" fillId="6" borderId="14" xfId="0" applyNumberFormat="1"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wrapText="1"/>
    </xf>
    <xf numFmtId="0" fontId="8" fillId="5" borderId="17"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8"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8" fillId="5" borderId="10"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0" fontId="1" fillId="10" borderId="12" xfId="0" applyFont="1" applyFill="1" applyBorder="1" applyAlignment="1" applyProtection="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cellXfs>
  <cellStyles count="1">
    <cellStyle name="Normal" xfId="0" builtinId="0"/>
  </cellStyles>
  <dxfs count="0"/>
  <tableStyles count="0" defaultTableStyle="TableStyleMedium2" defaultPivotStyle="PivotStyleLight16"/>
  <colors>
    <mruColors>
      <color rgb="FF9FDFA5"/>
      <color rgb="FF9900D6"/>
      <color rgb="FFA200E0"/>
      <color rgb="FFB238E0"/>
      <color rgb="FFAD392C"/>
      <color rgb="FFE04A38"/>
      <color rgb="FFF60000"/>
      <color rgb="FFFFF169"/>
      <color rgb="FFF1E333"/>
      <color rgb="FFF5D67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endParaRPr lang="en-GB" sz="1500" baseline="0"/>
          </a:p>
          <a:p>
            <a:pPr>
              <a:defRPr/>
            </a:pPr>
            <a:r>
              <a:rPr lang="en-GB" sz="1500" baseline="0"/>
              <a:t>Investment Projection, what you could get back</a:t>
            </a:r>
            <a:endParaRPr lang="en-GB" sz="1500"/>
          </a:p>
        </c:rich>
      </c:tx>
      <c:layout/>
      <c:overlay val="0"/>
    </c:title>
    <c:autoTitleDeleted val="0"/>
    <c:plotArea>
      <c:layout/>
      <c:barChart>
        <c:barDir val="col"/>
        <c:grouping val="clustered"/>
        <c:varyColors val="1"/>
        <c:ser>
          <c:idx val="0"/>
          <c:order val="0"/>
          <c:spPr>
            <a:gradFill>
              <a:gsLst>
                <a:gs pos="0">
                  <a:srgbClr val="FFEFD1"/>
                </a:gs>
                <a:gs pos="0">
                  <a:srgbClr val="EEECE1">
                    <a:lumMod val="50000"/>
                  </a:srgbClr>
                </a:gs>
                <a:gs pos="100000">
                  <a:srgbClr val="D1C39F"/>
                </a:gs>
              </a:gsLst>
              <a:lin ang="16500000" scaled="0"/>
            </a:gradFill>
          </c:spPr>
          <c:invertIfNegative val="0"/>
          <c:dPt>
            <c:idx val="0"/>
            <c:invertIfNegative val="0"/>
            <c:bubble3D val="0"/>
            <c:spPr>
              <a:gradFill>
                <a:gsLst>
                  <a:gs pos="0">
                    <a:srgbClr val="9900D6"/>
                  </a:gs>
                  <a:gs pos="49000">
                    <a:srgbClr val="B238E0"/>
                  </a:gs>
                </a:gsLst>
                <a:lin ang="16500000" scaled="0"/>
              </a:gradFill>
            </c:spPr>
          </c:dPt>
          <c:dPt>
            <c:idx val="1"/>
            <c:invertIfNegative val="0"/>
            <c:bubble3D val="0"/>
            <c:spPr>
              <a:gradFill flip="none" rotWithShape="1">
                <a:gsLst>
                  <a:gs pos="3000">
                    <a:srgbClr val="E04A38"/>
                  </a:gs>
                  <a:gs pos="73000">
                    <a:srgbClr val="AD392C"/>
                  </a:gs>
                </a:gsLst>
                <a:lin ang="5400000" scaled="1"/>
                <a:tileRect/>
              </a:gradFill>
            </c:spPr>
          </c:dPt>
          <c:dPt>
            <c:idx val="2"/>
            <c:invertIfNegative val="0"/>
            <c:bubble3D val="0"/>
            <c:spPr>
              <a:gradFill>
                <a:gsLst>
                  <a:gs pos="35000">
                    <a:srgbClr val="9BBB59"/>
                  </a:gs>
                  <a:gs pos="0">
                    <a:srgbClr val="9BBB59">
                      <a:lumMod val="75000"/>
                    </a:srgbClr>
                  </a:gs>
                </a:gsLst>
                <a:lin ang="16500000" scaled="0"/>
              </a:gradFill>
            </c:spPr>
          </c:dPt>
          <c:dPt>
            <c:idx val="3"/>
            <c:invertIfNegative val="0"/>
            <c:bubble3D val="0"/>
            <c:spPr>
              <a:gradFill flip="none" rotWithShape="1">
                <a:gsLst>
                  <a:gs pos="19000">
                    <a:srgbClr val="F79646">
                      <a:lumMod val="75000"/>
                    </a:srgbClr>
                  </a:gs>
                  <a:gs pos="100000">
                    <a:schemeClr val="accent6"/>
                  </a:gs>
                </a:gsLst>
                <a:lin ang="16200000" scaled="1"/>
                <a:tileRect/>
              </a:gradFill>
            </c:spPr>
          </c:dPt>
          <c:dPt>
            <c:idx val="4"/>
            <c:invertIfNegative val="0"/>
            <c:bubble3D val="0"/>
            <c:spPr/>
          </c:dPt>
          <c:dPt>
            <c:idx val="5"/>
            <c:invertIfNegative val="0"/>
            <c:bubble3D val="0"/>
            <c:spPr>
              <a:gradFill>
                <a:gsLst>
                  <a:gs pos="0">
                    <a:srgbClr val="C0504D">
                      <a:lumMod val="50000"/>
                    </a:srgbClr>
                  </a:gs>
                  <a:gs pos="46000">
                    <a:srgbClr val="C0504D">
                      <a:lumMod val="75000"/>
                    </a:srgbClr>
                  </a:gs>
                </a:gsLst>
                <a:lin ang="16500000" scaled="0"/>
              </a:gradFill>
            </c:spPr>
          </c:dPt>
          <c:dPt>
            <c:idx val="6"/>
            <c:invertIfNegative val="0"/>
            <c:bubble3D val="0"/>
            <c:spPr>
              <a:gradFill>
                <a:gsLst>
                  <a:gs pos="0">
                    <a:srgbClr val="EEECE1">
                      <a:lumMod val="25000"/>
                    </a:srgbClr>
                  </a:gs>
                  <a:gs pos="44000">
                    <a:srgbClr val="EEECE1">
                      <a:lumMod val="50000"/>
                    </a:srgbClr>
                  </a:gs>
                </a:gsLst>
                <a:lin ang="16500000" scaled="0"/>
              </a:gradFill>
            </c:spPr>
          </c:dPt>
          <c:cat>
            <c:strRef>
              <c:f>Calc_sheet!$AS$38:$AS$44</c:f>
              <c:strCache>
                <c:ptCount val="7"/>
                <c:pt idx="0">
                  <c:v>Hallmark</c:v>
                </c:pt>
                <c:pt idx="1">
                  <c:v>Generali Vision</c:v>
                </c:pt>
                <c:pt idx="2">
                  <c:v>OMI (Royal Skandia)</c:v>
                </c:pt>
                <c:pt idx="3">
                  <c:v>Hansard</c:v>
                </c:pt>
                <c:pt idx="4">
                  <c:v>Ascentric</c:v>
                </c:pt>
                <c:pt idx="5">
                  <c:v>Royal London</c:v>
                </c:pt>
                <c:pt idx="6">
                  <c:v>Friends Provident</c:v>
                </c:pt>
              </c:strCache>
            </c:strRef>
          </c:cat>
          <c:val>
            <c:numRef>
              <c:f>Calc_sheet!$AT$38:$AT$44</c:f>
              <c:numCache>
                <c:formatCode>\£#,##0.00</c:formatCode>
                <c:ptCount val="7"/>
                <c:pt idx="0">
                  <c:v>69054.972968382426</c:v>
                </c:pt>
                <c:pt idx="1">
                  <c:v>58481.147090952814</c:v>
                </c:pt>
                <c:pt idx="2">
                  <c:v>59161.773473431305</c:v>
                </c:pt>
                <c:pt idx="3">
                  <c:v>54531.693555404963</c:v>
                </c:pt>
                <c:pt idx="4">
                  <c:v>69063.148115238844</c:v>
                </c:pt>
                <c:pt idx="5">
                  <c:v>56202.989279868023</c:v>
                </c:pt>
                <c:pt idx="6">
                  <c:v>57013.711516026589</c:v>
                </c:pt>
              </c:numCache>
            </c:numRef>
          </c:val>
        </c:ser>
        <c:dLbls>
          <c:showLegendKey val="0"/>
          <c:showVal val="0"/>
          <c:showCatName val="0"/>
          <c:showSerName val="0"/>
          <c:showPercent val="0"/>
          <c:showBubbleSize val="0"/>
        </c:dLbls>
        <c:gapWidth val="50"/>
        <c:overlap val="-25"/>
        <c:axId val="110435840"/>
        <c:axId val="110551040"/>
      </c:barChart>
      <c:lineChart>
        <c:grouping val="standard"/>
        <c:varyColors val="1"/>
        <c:ser>
          <c:idx val="1"/>
          <c:order val="1"/>
          <c:spPr>
            <a:ln w="19050"/>
          </c:spPr>
          <c:marker>
            <c:symbol val="none"/>
          </c:marker>
          <c:cat>
            <c:strRef>
              <c:f>Calc_sheet!$AS$38:$AS$44</c:f>
              <c:strCache>
                <c:ptCount val="7"/>
                <c:pt idx="0">
                  <c:v>Hallmark</c:v>
                </c:pt>
                <c:pt idx="1">
                  <c:v>Generali Vision</c:v>
                </c:pt>
                <c:pt idx="2">
                  <c:v>OMI (Royal Skandia)</c:v>
                </c:pt>
                <c:pt idx="3">
                  <c:v>Hansard</c:v>
                </c:pt>
                <c:pt idx="4">
                  <c:v>Ascentric</c:v>
                </c:pt>
                <c:pt idx="5">
                  <c:v>Royal London</c:v>
                </c:pt>
                <c:pt idx="6">
                  <c:v>Friends Provident</c:v>
                </c:pt>
              </c:strCache>
            </c:strRef>
          </c:cat>
          <c:val>
            <c:numRef>
              <c:f>Calc_sheet!$AU$38:$AU$44</c:f>
              <c:numCache>
                <c:formatCode>General</c:formatCode>
                <c:ptCount val="7"/>
                <c:pt idx="0">
                  <c:v>60000</c:v>
                </c:pt>
                <c:pt idx="1">
                  <c:v>60000</c:v>
                </c:pt>
                <c:pt idx="2">
                  <c:v>60000</c:v>
                </c:pt>
                <c:pt idx="3">
                  <c:v>60000</c:v>
                </c:pt>
                <c:pt idx="4">
                  <c:v>60000</c:v>
                </c:pt>
                <c:pt idx="5">
                  <c:v>60000</c:v>
                </c:pt>
                <c:pt idx="6">
                  <c:v>60000</c:v>
                </c:pt>
              </c:numCache>
            </c:numRef>
          </c:val>
          <c:smooth val="0"/>
        </c:ser>
        <c:dLbls>
          <c:showLegendKey val="0"/>
          <c:showVal val="0"/>
          <c:showCatName val="0"/>
          <c:showSerName val="0"/>
          <c:showPercent val="0"/>
          <c:showBubbleSize val="0"/>
        </c:dLbls>
        <c:marker val="1"/>
        <c:smooth val="0"/>
        <c:axId val="110435840"/>
        <c:axId val="110551040"/>
      </c:lineChart>
      <c:catAx>
        <c:axId val="110435840"/>
        <c:scaling>
          <c:orientation val="minMax"/>
        </c:scaling>
        <c:delete val="0"/>
        <c:axPos val="b"/>
        <c:numFmt formatCode="General" sourceLinked="1"/>
        <c:majorTickMark val="out"/>
        <c:minorTickMark val="none"/>
        <c:tickLblPos val="nextTo"/>
        <c:crossAx val="110551040"/>
        <c:crosses val="autoZero"/>
        <c:auto val="1"/>
        <c:lblAlgn val="ctr"/>
        <c:lblOffset val="100"/>
        <c:tickLblSkip val="1"/>
        <c:noMultiLvlLbl val="0"/>
      </c:catAx>
      <c:valAx>
        <c:axId val="110551040"/>
        <c:scaling>
          <c:orientation val="minMax"/>
          <c:min val="40000"/>
        </c:scaling>
        <c:delete val="0"/>
        <c:axPos val="l"/>
        <c:numFmt formatCode="\£#,##0.00" sourceLinked="1"/>
        <c:majorTickMark val="out"/>
        <c:minorTickMark val="none"/>
        <c:tickLblPos val="nextTo"/>
        <c:crossAx val="110435840"/>
        <c:crosses val="autoZero"/>
        <c:crossBetween val="between"/>
      </c:valAx>
    </c:plotArea>
    <c:plotVisOnly val="1"/>
    <c:dispBlanksAs val="gap"/>
    <c:showDLblsOverMax val="0"/>
  </c:chart>
  <c:printSettings>
    <c:headerFooter/>
    <c:pageMargins b="0.750000000000002" l="0.70000000000000095" r="0.70000000000000095" t="0.750000000000002"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endParaRPr lang="en-GB" sz="1500"/>
          </a:p>
          <a:p>
            <a:pPr>
              <a:defRPr/>
            </a:pPr>
            <a:r>
              <a:rPr lang="en-GB" sz="1500"/>
              <a:t>Investment Return</a:t>
            </a:r>
            <a:r>
              <a:rPr lang="en-GB" sz="1500" baseline="0"/>
              <a:t> Projections over first 10 years (Original Input Currency)</a:t>
            </a:r>
            <a:endParaRPr lang="en-GB" sz="1500"/>
          </a:p>
        </c:rich>
      </c:tx>
      <c:layout/>
      <c:overlay val="0"/>
    </c:title>
    <c:autoTitleDeleted val="0"/>
    <c:plotArea>
      <c:layout/>
      <c:lineChart>
        <c:grouping val="standard"/>
        <c:varyColors val="0"/>
        <c:ser>
          <c:idx val="4"/>
          <c:order val="0"/>
          <c:tx>
            <c:strRef>
              <c:f>Calc_sheet!$H$27</c:f>
              <c:strCache>
                <c:ptCount val="1"/>
                <c:pt idx="0">
                  <c:v>Ascentric</c:v>
                </c:pt>
              </c:strCache>
            </c:strRef>
          </c:tx>
          <c:marker>
            <c:symbol val="none"/>
          </c:marker>
          <c:cat>
            <c:numRef>
              <c:f>Calc_sheet!$I$17:$R$17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Calc_sheet!$I$27:$R$27</c:f>
              <c:numCache>
                <c:formatCode>#,##0_ ;\-#,##0\ </c:formatCode>
                <c:ptCount val="10"/>
                <c:pt idx="0">
                  <c:v>12224.659127490373</c:v>
                </c:pt>
                <c:pt idx="1">
                  <c:v>25194.672178811954</c:v>
                </c:pt>
                <c:pt idx="2">
                  <c:v>38958.228727049696</c:v>
                </c:pt>
                <c:pt idx="3">
                  <c:v>53563.880094319175</c:v>
                </c:pt>
                <c:pt idx="4">
                  <c:v>69063.148115238844</c:v>
                </c:pt>
                <c:pt idx="5">
                  <c:v>85510.706881610618</c:v>
                </c:pt>
                <c:pt idx="6">
                  <c:v>102964.5756067739</c:v>
                </c:pt>
                <c:pt idx="7">
                  <c:v>121486.32328996726</c:v>
                </c:pt>
                <c:pt idx="8">
                  <c:v>141141.28590265696</c:v>
                </c:pt>
                <c:pt idx="9">
                  <c:v>161998.79686296309</c:v>
                </c:pt>
              </c:numCache>
            </c:numRef>
          </c:val>
          <c:smooth val="0"/>
        </c:ser>
        <c:ser>
          <c:idx val="0"/>
          <c:order val="1"/>
          <c:tx>
            <c:strRef>
              <c:f>Calc_sheet!$H$18</c:f>
              <c:strCache>
                <c:ptCount val="1"/>
                <c:pt idx="0">
                  <c:v>Hallmark</c:v>
                </c:pt>
              </c:strCache>
            </c:strRef>
          </c:tx>
          <c:marker>
            <c:symbol val="none"/>
          </c:marker>
          <c:cat>
            <c:numRef>
              <c:f>Calc_sheet!$I$17:$R$17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Calc_sheet!$I$18:$R$18</c:f>
              <c:numCache>
                <c:formatCode>#,##0_ ;\-#,##0\ </c:formatCode>
                <c:ptCount val="10"/>
                <c:pt idx="0">
                  <c:v>12308.468231659348</c:v>
                </c:pt>
                <c:pt idx="1">
                  <c:v>25326.144555191862</c:v>
                </c:pt>
                <c:pt idx="2">
                  <c:v>39093.893203913321</c:v>
                </c:pt>
                <c:pt idx="3">
                  <c:v>53654.932988848952</c:v>
                </c:pt>
                <c:pt idx="4">
                  <c:v>69054.972968382426</c:v>
                </c:pt>
                <c:pt idx="5">
                  <c:v>85342.355935125524</c:v>
                </c:pt>
                <c:pt idx="6">
                  <c:v>102568.21017043314</c:v>
                </c:pt>
                <c:pt idx="7">
                  <c:v>120786.60994294127</c:v>
                </c:pt>
                <c:pt idx="8">
                  <c:v>140054.74525495456</c:v>
                </c:pt>
                <c:pt idx="9">
                  <c:v>160433.10136954003</c:v>
                </c:pt>
              </c:numCache>
            </c:numRef>
          </c:val>
          <c:smooth val="0"/>
        </c:ser>
        <c:ser>
          <c:idx val="6"/>
          <c:order val="2"/>
          <c:tx>
            <c:strRef>
              <c:f>Calc_sheet!$H$33</c:f>
              <c:strCache>
                <c:ptCount val="1"/>
                <c:pt idx="0">
                  <c:v>Friends Provident</c:v>
                </c:pt>
              </c:strCache>
            </c:strRef>
          </c:tx>
          <c:spPr>
            <a:ln>
              <a:solidFill>
                <a:schemeClr val="bg2">
                  <a:lumMod val="50000"/>
                </a:schemeClr>
              </a:solidFill>
            </a:ln>
          </c:spPr>
          <c:marker>
            <c:symbol val="none"/>
          </c:marker>
          <c:cat>
            <c:numRef>
              <c:f>Calc_sheet!$I$17:$R$17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Calc_sheet!$I$33:$R$33</c:f>
              <c:numCache>
                <c:formatCode>#,##0_ ;\-#,##0\ </c:formatCode>
                <c:ptCount val="10"/>
                <c:pt idx="0">
                  <c:v>10911.167576452919</c:v>
                </c:pt>
                <c:pt idx="1">
                  <c:v>21713.919166639284</c:v>
                </c:pt>
                <c:pt idx="2">
                  <c:v>33023.314777308551</c:v>
                </c:pt>
                <c:pt idx="3">
                  <c:v>44784.082636977648</c:v>
                </c:pt>
                <c:pt idx="4">
                  <c:v>57013.711516026589</c:v>
                </c:pt>
                <c:pt idx="5">
                  <c:v>69730.372905804979</c:v>
                </c:pt>
                <c:pt idx="6">
                  <c:v>82952.947619445156</c:v>
                </c:pt>
                <c:pt idx="7">
                  <c:v>96701.053429627209</c:v>
                </c:pt>
                <c:pt idx="8">
                  <c:v>110995.07378371347</c:v>
                </c:pt>
                <c:pt idx="9">
                  <c:v>125856.1876382452</c:v>
                </c:pt>
              </c:numCache>
            </c:numRef>
          </c:val>
          <c:smooth val="0"/>
        </c:ser>
        <c:ser>
          <c:idx val="3"/>
          <c:order val="3"/>
          <c:tx>
            <c:strRef>
              <c:f>Calc_sheet!$H$26</c:f>
              <c:strCache>
                <c:ptCount val="1"/>
                <c:pt idx="0">
                  <c:v>Hansard</c:v>
                </c:pt>
              </c:strCache>
            </c:strRef>
          </c:tx>
          <c:marker>
            <c:symbol val="none"/>
          </c:marker>
          <c:cat>
            <c:numRef>
              <c:f>Calc_sheet!$I$17:$R$17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Calc_sheet!$I$26:$R$26</c:f>
              <c:numCache>
                <c:formatCode>#,##0_ ;\-#,##0\ </c:formatCode>
                <c:ptCount val="10"/>
                <c:pt idx="0">
                  <c:v>9337.4781347782937</c:v>
                </c:pt>
                <c:pt idx="1">
                  <c:v>17481.701218739941</c:v>
                </c:pt>
                <c:pt idx="2">
                  <c:v>28374.426999083567</c:v>
                </c:pt>
                <c:pt idx="3">
                  <c:v>39768.189646156963</c:v>
                </c:pt>
                <c:pt idx="4">
                  <c:v>54531.693555404963</c:v>
                </c:pt>
                <c:pt idx="5">
                  <c:v>67101.998392858601</c:v>
                </c:pt>
                <c:pt idx="6">
                  <c:v>80236.864860525253</c:v>
                </c:pt>
                <c:pt idx="7">
                  <c:v>93957.829093506603</c:v>
                </c:pt>
                <c:pt idx="8">
                  <c:v>108287.38076856006</c:v>
                </c:pt>
                <c:pt idx="9">
                  <c:v>126098.99995187433</c:v>
                </c:pt>
              </c:numCache>
            </c:numRef>
          </c:val>
          <c:smooth val="0"/>
        </c:ser>
        <c:ser>
          <c:idx val="2"/>
          <c:order val="4"/>
          <c:tx>
            <c:strRef>
              <c:f>Calc_sheet!$H$22</c:f>
              <c:strCache>
                <c:ptCount val="1"/>
                <c:pt idx="0">
                  <c:v>OMI (Royal Skandia)</c:v>
                </c:pt>
              </c:strCache>
            </c:strRef>
          </c:tx>
          <c:marker>
            <c:symbol val="none"/>
          </c:marker>
          <c:cat>
            <c:numRef>
              <c:f>Calc_sheet!$I$17:$R$17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Calc_sheet!$I$22:$R$22</c:f>
              <c:numCache>
                <c:formatCode>#,##0_ ;\-#,##0\ </c:formatCode>
                <c:ptCount val="10"/>
                <c:pt idx="0">
                  <c:v>11091.075517553085</c:v>
                </c:pt>
                <c:pt idx="1">
                  <c:v>22540.991665665406</c:v>
                </c:pt>
                <c:pt idx="2">
                  <c:v>34361.358373233074</c:v>
                </c:pt>
                <c:pt idx="3">
                  <c:v>46564.161196763715</c:v>
                </c:pt>
                <c:pt idx="4">
                  <c:v>59161.773473431305</c:v>
                </c:pt>
                <c:pt idx="5">
                  <c:v>72166.968867330928</c:v>
                </c:pt>
                <c:pt idx="6">
                  <c:v>85592.934321655004</c:v>
                </c:pt>
                <c:pt idx="7">
                  <c:v>99453.283429924209</c:v>
                </c:pt>
                <c:pt idx="8">
                  <c:v>113762.0702398312</c:v>
                </c:pt>
                <c:pt idx="9">
                  <c:v>128533.80350369377</c:v>
                </c:pt>
              </c:numCache>
            </c:numRef>
          </c:val>
          <c:smooth val="0"/>
        </c:ser>
        <c:ser>
          <c:idx val="5"/>
          <c:order val="5"/>
          <c:tx>
            <c:strRef>
              <c:f>Calc_sheet!$H$30</c:f>
              <c:strCache>
                <c:ptCount val="1"/>
                <c:pt idx="0">
                  <c:v>Royal London</c:v>
                </c:pt>
              </c:strCache>
            </c:strRef>
          </c:tx>
          <c:marker>
            <c:symbol val="none"/>
          </c:marker>
          <c:cat>
            <c:numRef>
              <c:f>Calc_sheet!$I$17:$R$17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Calc_sheet!$I$30:$R$30</c:f>
              <c:numCache>
                <c:formatCode>#,##0_ ;\-#,##0\ </c:formatCode>
                <c:ptCount val="10"/>
                <c:pt idx="0">
                  <c:v>10662.515498353316</c:v>
                </c:pt>
                <c:pt idx="1">
                  <c:v>21621.212499819594</c:v>
                </c:pt>
                <c:pt idx="2">
                  <c:v>32465.221637662362</c:v>
                </c:pt>
                <c:pt idx="3">
                  <c:v>43756.11999913826</c:v>
                </c:pt>
                <c:pt idx="4">
                  <c:v>55509.125214684464</c:v>
                </c:pt>
                <c:pt idx="5">
                  <c:v>67740.060976237321</c:v>
                </c:pt>
                <c:pt idx="6">
                  <c:v>80465.378253712566</c:v>
                </c:pt>
                <c:pt idx="7">
                  <c:v>93702.177337223984</c:v>
                </c:pt>
                <c:pt idx="8">
                  <c:v>107468.23073449382</c:v>
                </c:pt>
                <c:pt idx="9">
                  <c:v>121782.00695403709</c:v>
                </c:pt>
              </c:numCache>
            </c:numRef>
          </c:val>
          <c:smooth val="0"/>
        </c:ser>
        <c:ser>
          <c:idx val="1"/>
          <c:order val="6"/>
          <c:tx>
            <c:strRef>
              <c:f>Calc_sheet!$H$21</c:f>
              <c:strCache>
                <c:ptCount val="1"/>
                <c:pt idx="0">
                  <c:v>Generali Vision</c:v>
                </c:pt>
              </c:strCache>
            </c:strRef>
          </c:tx>
          <c:marker>
            <c:symbol val="none"/>
          </c:marker>
          <c:cat>
            <c:numRef>
              <c:f>Calc_sheet!$I$17:$R$17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Calc_sheet!$I$21:$R$21</c:f>
              <c:numCache>
                <c:formatCode>#,##0_ ;\-#,##0\ </c:formatCode>
                <c:ptCount val="10"/>
                <c:pt idx="0">
                  <c:v>10906.85343664133</c:v>
                </c:pt>
                <c:pt idx="1">
                  <c:v>22294.673201131955</c:v>
                </c:pt>
                <c:pt idx="2">
                  <c:v>34142.399305487299</c:v>
                </c:pt>
                <c:pt idx="3">
                  <c:v>46049.241470546403</c:v>
                </c:pt>
                <c:pt idx="4">
                  <c:v>58481.147090952814</c:v>
                </c:pt>
                <c:pt idx="5">
                  <c:v>71461.270217824334</c:v>
                </c:pt>
                <c:pt idx="6">
                  <c:v>85013.785940931702</c:v>
                </c:pt>
                <c:pt idx="7">
                  <c:v>99163.935414077816</c:v>
                </c:pt>
                <c:pt idx="8">
                  <c:v>113938.07286598909</c:v>
                </c:pt>
                <c:pt idx="9">
                  <c:v>135063.71468427559</c:v>
                </c:pt>
              </c:numCache>
            </c:numRef>
          </c:val>
          <c:smooth val="0"/>
        </c:ser>
        <c:dLbls>
          <c:showLegendKey val="0"/>
          <c:showVal val="0"/>
          <c:showCatName val="0"/>
          <c:showSerName val="0"/>
          <c:showPercent val="0"/>
          <c:showBubbleSize val="0"/>
        </c:dLbls>
        <c:marker val="1"/>
        <c:smooth val="0"/>
        <c:axId val="110888960"/>
        <c:axId val="110552192"/>
      </c:lineChart>
      <c:catAx>
        <c:axId val="110888960"/>
        <c:scaling>
          <c:orientation val="minMax"/>
        </c:scaling>
        <c:delete val="0"/>
        <c:axPos val="b"/>
        <c:numFmt formatCode="General" sourceLinked="1"/>
        <c:majorTickMark val="none"/>
        <c:minorTickMark val="none"/>
        <c:tickLblPos val="nextTo"/>
        <c:crossAx val="110552192"/>
        <c:crosses val="autoZero"/>
        <c:auto val="1"/>
        <c:lblAlgn val="ctr"/>
        <c:lblOffset val="100"/>
        <c:noMultiLvlLbl val="0"/>
      </c:catAx>
      <c:valAx>
        <c:axId val="110552192"/>
        <c:scaling>
          <c:orientation val="minMax"/>
        </c:scaling>
        <c:delete val="0"/>
        <c:axPos val="l"/>
        <c:majorGridlines/>
        <c:numFmt formatCode="#,##0_ ;\-#,##0\ " sourceLinked="1"/>
        <c:majorTickMark val="none"/>
        <c:minorTickMark val="none"/>
        <c:tickLblPos val="nextTo"/>
        <c:crossAx val="110888960"/>
        <c:crosses val="autoZero"/>
        <c:crossBetween val="between"/>
      </c:valAx>
    </c:plotArea>
    <c:legend>
      <c:legendPos val="r"/>
      <c:layout/>
      <c:overlay val="0"/>
    </c:legend>
    <c:plotVisOnly val="1"/>
    <c:dispBlanksAs val="gap"/>
    <c:showDLblsOverMax val="0"/>
  </c:chart>
  <c:printSettings>
    <c:headerFooter/>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endParaRPr lang="en-GB" sz="1300">
              <a:latin typeface="Arial" pitchFamily="34" charset="0"/>
              <a:cs typeface="Arial" pitchFamily="34" charset="0"/>
            </a:endParaRPr>
          </a:p>
          <a:p>
            <a:pPr>
              <a:defRPr sz="1600"/>
            </a:pPr>
            <a:r>
              <a:rPr lang="en-GB" sz="1300">
                <a:latin typeface="Arial" pitchFamily="34" charset="0"/>
                <a:cs typeface="Arial" pitchFamily="34" charset="0"/>
              </a:rPr>
              <a:t>What you will actually</a:t>
            </a:r>
            <a:r>
              <a:rPr lang="en-GB" sz="1300" baseline="0">
                <a:latin typeface="Arial" pitchFamily="34" charset="0"/>
                <a:cs typeface="Arial" pitchFamily="34" charset="0"/>
              </a:rPr>
              <a:t> </a:t>
            </a:r>
            <a:r>
              <a:rPr lang="en-GB" sz="1300">
                <a:latin typeface="Arial" pitchFamily="34" charset="0"/>
                <a:cs typeface="Arial" pitchFamily="34" charset="0"/>
              </a:rPr>
              <a:t>get back if you decided to stop your plan in year</a:t>
            </a:r>
            <a:r>
              <a:rPr lang="en-GB" sz="1300" baseline="0">
                <a:latin typeface="Arial" pitchFamily="34" charset="0"/>
                <a:cs typeface="Arial" pitchFamily="34" charset="0"/>
              </a:rPr>
              <a:t> 4</a:t>
            </a:r>
          </a:p>
        </c:rich>
      </c:tx>
      <c:overlay val="0"/>
    </c:title>
    <c:autoTitleDeleted val="0"/>
    <c:plotArea>
      <c:layout/>
      <c:barChart>
        <c:barDir val="col"/>
        <c:grouping val="clustered"/>
        <c:varyColors val="0"/>
        <c:ser>
          <c:idx val="0"/>
          <c:order val="0"/>
          <c:tx>
            <c:strRef>
              <c:f>Calc_sheet!$AT$49</c:f>
              <c:strCache>
                <c:ptCount val="1"/>
                <c:pt idx="0">
                  <c:v>Continuing with your plan</c:v>
                </c:pt>
              </c:strCache>
            </c:strRef>
          </c:tx>
          <c:invertIfNegative val="0"/>
          <c:cat>
            <c:strRef>
              <c:f>Calc_sheet!$AS$50:$AS$57</c:f>
              <c:strCache>
                <c:ptCount val="8"/>
                <c:pt idx="0">
                  <c:v>Hallmark</c:v>
                </c:pt>
                <c:pt idx="1">
                  <c:v>Generali Vision</c:v>
                </c:pt>
                <c:pt idx="2">
                  <c:v>OMI (Royal Skandia)</c:v>
                </c:pt>
                <c:pt idx="3">
                  <c:v>OMI EWA</c:v>
                </c:pt>
                <c:pt idx="4">
                  <c:v>Hansard</c:v>
                </c:pt>
                <c:pt idx="5">
                  <c:v>Ascentric</c:v>
                </c:pt>
                <c:pt idx="6">
                  <c:v>Royal London</c:v>
                </c:pt>
                <c:pt idx="7">
                  <c:v>Friends Provident</c:v>
                </c:pt>
              </c:strCache>
            </c:strRef>
          </c:cat>
          <c:val>
            <c:numRef>
              <c:f>Calc_sheet!$AT$50:$AT$57</c:f>
              <c:numCache>
                <c:formatCode>\£#,##0.00</c:formatCode>
                <c:ptCount val="8"/>
                <c:pt idx="0">
                  <c:v>53654.932988848952</c:v>
                </c:pt>
                <c:pt idx="1">
                  <c:v>46049.241470546403</c:v>
                </c:pt>
                <c:pt idx="2">
                  <c:v>46564.161196763715</c:v>
                </c:pt>
                <c:pt idx="3">
                  <c:v>45632.877972828435</c:v>
                </c:pt>
                <c:pt idx="4">
                  <c:v>39768.189646156963</c:v>
                </c:pt>
                <c:pt idx="5">
                  <c:v>53563.880094319175</c:v>
                </c:pt>
                <c:pt idx="6">
                  <c:v>43756.11999913826</c:v>
                </c:pt>
                <c:pt idx="7">
                  <c:v>44784.082636977648</c:v>
                </c:pt>
              </c:numCache>
            </c:numRef>
          </c:val>
        </c:ser>
        <c:ser>
          <c:idx val="1"/>
          <c:order val="1"/>
          <c:tx>
            <c:strRef>
              <c:f>Calc_sheet!$AU$49</c:f>
              <c:strCache>
                <c:ptCount val="1"/>
                <c:pt idx="0">
                  <c:v>Stopping your plan early</c:v>
                </c:pt>
              </c:strCache>
            </c:strRef>
          </c:tx>
          <c:invertIfNegative val="0"/>
          <c:cat>
            <c:strRef>
              <c:f>Calc_sheet!$AS$50:$AS$57</c:f>
              <c:strCache>
                <c:ptCount val="8"/>
                <c:pt idx="0">
                  <c:v>Hallmark</c:v>
                </c:pt>
                <c:pt idx="1">
                  <c:v>Generali Vision</c:v>
                </c:pt>
                <c:pt idx="2">
                  <c:v>OMI (Royal Skandia)</c:v>
                </c:pt>
                <c:pt idx="3">
                  <c:v>OMI EWA</c:v>
                </c:pt>
                <c:pt idx="4">
                  <c:v>Hansard</c:v>
                </c:pt>
                <c:pt idx="5">
                  <c:v>Ascentric</c:v>
                </c:pt>
                <c:pt idx="6">
                  <c:v>Royal London</c:v>
                </c:pt>
                <c:pt idx="7">
                  <c:v>Friends Provident</c:v>
                </c:pt>
              </c:strCache>
            </c:strRef>
          </c:cat>
          <c:val>
            <c:numRef>
              <c:f>Calc_sheet!$AU$50:$AU$57</c:f>
              <c:numCache>
                <c:formatCode>General</c:formatCode>
                <c:ptCount val="8"/>
                <c:pt idx="0">
                  <c:v>53654.932988848952</c:v>
                </c:pt>
                <c:pt idx="1">
                  <c:v>44909.241470546403</c:v>
                </c:pt>
                <c:pt idx="2">
                  <c:v>46564.161196763715</c:v>
                </c:pt>
                <c:pt idx="3">
                  <c:v>45632.877972828435</c:v>
                </c:pt>
                <c:pt idx="4">
                  <c:v>39768.189646156963</c:v>
                </c:pt>
                <c:pt idx="5">
                  <c:v>53563.880094319175</c:v>
                </c:pt>
                <c:pt idx="6">
                  <c:v>43756.11999913826</c:v>
                </c:pt>
                <c:pt idx="7">
                  <c:v>44784.082636977648</c:v>
                </c:pt>
              </c:numCache>
            </c:numRef>
          </c:val>
        </c:ser>
        <c:dLbls>
          <c:showLegendKey val="0"/>
          <c:showVal val="0"/>
          <c:showCatName val="0"/>
          <c:showSerName val="0"/>
          <c:showPercent val="0"/>
          <c:showBubbleSize val="0"/>
        </c:dLbls>
        <c:gapWidth val="150"/>
        <c:axId val="110889472"/>
        <c:axId val="110554496"/>
      </c:barChart>
      <c:lineChart>
        <c:grouping val="standard"/>
        <c:varyColors val="0"/>
        <c:ser>
          <c:idx val="2"/>
          <c:order val="2"/>
          <c:tx>
            <c:strRef>
              <c:f>Calc_sheet!$AV$49</c:f>
              <c:strCache>
                <c:ptCount val="1"/>
                <c:pt idx="0">
                  <c:v>Initial Investment Amount</c:v>
                </c:pt>
              </c:strCache>
            </c:strRef>
          </c:tx>
          <c:spPr>
            <a:ln w="19050">
              <a:solidFill>
                <a:schemeClr val="accent6"/>
              </a:solidFill>
            </a:ln>
          </c:spPr>
          <c:marker>
            <c:symbol val="none"/>
          </c:marker>
          <c:cat>
            <c:strRef>
              <c:f>Calc_sheet!$AS$50:$AS$57</c:f>
              <c:strCache>
                <c:ptCount val="8"/>
                <c:pt idx="0">
                  <c:v>Hallmark</c:v>
                </c:pt>
                <c:pt idx="1">
                  <c:v>Generali Vision</c:v>
                </c:pt>
                <c:pt idx="2">
                  <c:v>OMI (Royal Skandia)</c:v>
                </c:pt>
                <c:pt idx="3">
                  <c:v>OMI EWA</c:v>
                </c:pt>
                <c:pt idx="4">
                  <c:v>Hansard</c:v>
                </c:pt>
                <c:pt idx="5">
                  <c:v>Ascentric</c:v>
                </c:pt>
                <c:pt idx="6">
                  <c:v>Royal London</c:v>
                </c:pt>
                <c:pt idx="7">
                  <c:v>Friends Provident</c:v>
                </c:pt>
              </c:strCache>
            </c:strRef>
          </c:cat>
          <c:val>
            <c:numRef>
              <c:f>Calc_sheet!$AV$50:$AV$57</c:f>
              <c:numCache>
                <c:formatCode>General</c:formatCode>
                <c:ptCount val="8"/>
                <c:pt idx="0" formatCode="_(* #,##0.00_);_(* \(#,##0.00\);_(* &quot;-&quot;??_);_(@_)">
                  <c:v>48000</c:v>
                </c:pt>
                <c:pt idx="1">
                  <c:v>48000</c:v>
                </c:pt>
                <c:pt idx="2">
                  <c:v>48000</c:v>
                </c:pt>
                <c:pt idx="3">
                  <c:v>48000</c:v>
                </c:pt>
                <c:pt idx="4">
                  <c:v>48000</c:v>
                </c:pt>
                <c:pt idx="5">
                  <c:v>48000</c:v>
                </c:pt>
                <c:pt idx="6">
                  <c:v>48000</c:v>
                </c:pt>
                <c:pt idx="7">
                  <c:v>48000</c:v>
                </c:pt>
              </c:numCache>
            </c:numRef>
          </c:val>
          <c:smooth val="0"/>
        </c:ser>
        <c:dLbls>
          <c:showLegendKey val="0"/>
          <c:showVal val="0"/>
          <c:showCatName val="0"/>
          <c:showSerName val="0"/>
          <c:showPercent val="0"/>
          <c:showBubbleSize val="0"/>
        </c:dLbls>
        <c:marker val="1"/>
        <c:smooth val="0"/>
        <c:axId val="110889472"/>
        <c:axId val="110554496"/>
      </c:lineChart>
      <c:catAx>
        <c:axId val="110889472"/>
        <c:scaling>
          <c:orientation val="minMax"/>
        </c:scaling>
        <c:delete val="0"/>
        <c:axPos val="b"/>
        <c:majorTickMark val="none"/>
        <c:minorTickMark val="none"/>
        <c:tickLblPos val="nextTo"/>
        <c:crossAx val="110554496"/>
        <c:crosses val="autoZero"/>
        <c:auto val="1"/>
        <c:lblAlgn val="ctr"/>
        <c:lblOffset val="100"/>
        <c:noMultiLvlLbl val="0"/>
      </c:catAx>
      <c:valAx>
        <c:axId val="110554496"/>
        <c:scaling>
          <c:orientation val="minMax"/>
        </c:scaling>
        <c:delete val="0"/>
        <c:axPos val="l"/>
        <c:majorGridlines/>
        <c:numFmt formatCode="\£#,##0.00" sourceLinked="1"/>
        <c:majorTickMark val="none"/>
        <c:minorTickMark val="none"/>
        <c:tickLblPos val="nextTo"/>
        <c:crossAx val="110889472"/>
        <c:crosses val="autoZero"/>
        <c:crossBetween val="between"/>
      </c:valAx>
    </c:plotArea>
    <c:legend>
      <c:legendPos val="r"/>
      <c:overlay val="0"/>
    </c:legend>
    <c:plotVisOnly val="1"/>
    <c:dispBlanksAs val="gap"/>
    <c:showDLblsOverMax val="0"/>
  </c:chart>
  <c:printSettings>
    <c:headerFooter/>
    <c:pageMargins b="0.750000000000002" l="0.70000000000000095" r="0.70000000000000095" t="0.750000000000002" header="0.3" footer="0.3"/>
    <c:pageSetup/>
  </c:printSettings>
</c:chartSpace>
</file>

<file path=xl/ctrlProps/ctrlProp1.xml><?xml version="1.0" encoding="utf-8"?>
<formControlPr xmlns="http://schemas.microsoft.com/office/spreadsheetml/2009/9/main" objectType="CheckBox" fmlaLink="Calc_sheet!$E$22" lockText="1" noThreeD="1"/>
</file>

<file path=xl/ctrlProps/ctrlProp2.xml><?xml version="1.0" encoding="utf-8"?>
<formControlPr xmlns="http://schemas.microsoft.com/office/spreadsheetml/2009/9/main" objectType="List" dx="16" fmlaLink="Calc_sheet!$AM$65" fmlaRange="Calc_sheet!$AM$61:$AM$63" noThreeD="1" sel="2" val="0"/>
</file>

<file path=xl/ctrlProps/ctrlProp3.xml><?xml version="1.0" encoding="utf-8"?>
<formControlPr xmlns="http://schemas.microsoft.com/office/spreadsheetml/2009/9/main" objectType="List" dx="16" fmlaLink="Calc_sheet!$AN$65" fmlaRange="Calc_sheet!$AN$61:$AN$63" noThreeD="1" sel="2" val="0"/>
</file>

<file path=xl/ctrlProps/ctrlProp4.xml><?xml version="1.0" encoding="utf-8"?>
<formControlPr xmlns="http://schemas.microsoft.com/office/spreadsheetml/2009/9/main" objectType="CheckBox" fmlaLink="Calc_sheet!$E$27" lockText="1" noThreeD="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139386</xdr:colOff>
      <xdr:row>5</xdr:row>
      <xdr:rowOff>76200</xdr:rowOff>
    </xdr:from>
    <xdr:to>
      <xdr:col>15</xdr:col>
      <xdr:colOff>152400</xdr:colOff>
      <xdr:row>37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42</xdr:row>
      <xdr:rowOff>79315</xdr:rowOff>
    </xdr:from>
    <xdr:to>
      <xdr:col>16</xdr:col>
      <xdr:colOff>123825</xdr:colOff>
      <xdr:row>74</xdr:row>
      <xdr:rowOff>123870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75</xdr:row>
      <xdr:rowOff>152399</xdr:rowOff>
    </xdr:from>
    <xdr:to>
      <xdr:col>16</xdr:col>
      <xdr:colOff>114300</xdr:colOff>
      <xdr:row>99</xdr:row>
      <xdr:rowOff>28575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32</xdr:row>
          <xdr:rowOff>104775</xdr:rowOff>
        </xdr:from>
        <xdr:to>
          <xdr:col>2</xdr:col>
          <xdr:colOff>9525</xdr:colOff>
          <xdr:row>34</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Ongoing Service Fee</a:t>
              </a:r>
            </a:p>
          </xdr:txBody>
        </xdr:sp>
        <xdr:clientData/>
      </xdr:twoCellAnchor>
    </mc:Choice>
    <mc:Fallback/>
  </mc:AlternateContent>
  <xdr:twoCellAnchor editAs="oneCell">
    <xdr:from>
      <xdr:col>1</xdr:col>
      <xdr:colOff>50800</xdr:colOff>
      <xdr:row>37</xdr:row>
      <xdr:rowOff>0</xdr:rowOff>
    </xdr:from>
    <xdr:to>
      <xdr:col>4</xdr:col>
      <xdr:colOff>0</xdr:colOff>
      <xdr:row>40</xdr:row>
      <xdr:rowOff>12700</xdr:rowOff>
    </xdr:to>
    <xdr:pic>
      <xdr:nvPicPr>
        <xdr:cNvPr id="1027" name="Email_button"/>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 y="6604000"/>
          <a:ext cx="2730500" cy="431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editAs="oneCell">
        <xdr:from>
          <xdr:col>1</xdr:col>
          <xdr:colOff>85725</xdr:colOff>
          <xdr:row>24</xdr:row>
          <xdr:rowOff>9525</xdr:rowOff>
        </xdr:from>
        <xdr:to>
          <xdr:col>2</xdr:col>
          <xdr:colOff>0</xdr:colOff>
          <xdr:row>25</xdr:row>
          <xdr:rowOff>142875</xdr:rowOff>
        </xdr:to>
        <xdr:sp macro="" textlink="">
          <xdr:nvSpPr>
            <xdr:cNvPr id="1032" name="List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9525</xdr:rowOff>
        </xdr:from>
        <xdr:to>
          <xdr:col>4</xdr:col>
          <xdr:colOff>47625</xdr:colOff>
          <xdr:row>25</xdr:row>
          <xdr:rowOff>142875</xdr:rowOff>
        </xdr:to>
        <xdr:sp macro="" textlink="">
          <xdr:nvSpPr>
            <xdr:cNvPr id="1033" name="List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28575</xdr:rowOff>
        </xdr:from>
        <xdr:to>
          <xdr:col>2</xdr:col>
          <xdr:colOff>0</xdr:colOff>
          <xdr:row>35</xdr:row>
          <xdr:rowOff>47625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Fund Growth Taxed</a:t>
              </a:r>
            </a:p>
          </xdr:txBody>
        </xdr:sp>
        <xdr:clientData/>
      </xdr:twoCellAnchor>
    </mc:Choice>
    <mc:Fallback/>
  </mc:AlternateContent>
  <xdr:twoCellAnchor editAs="oneCell">
    <xdr:from>
      <xdr:col>1</xdr:col>
      <xdr:colOff>0</xdr:colOff>
      <xdr:row>4</xdr:row>
      <xdr:rowOff>90599</xdr:rowOff>
    </xdr:from>
    <xdr:to>
      <xdr:col>3</xdr:col>
      <xdr:colOff>533400</xdr:colOff>
      <xdr:row>8</xdr:row>
      <xdr:rowOff>98086</xdr:rowOff>
    </xdr:to>
    <xdr:pic>
      <xdr:nvPicPr>
        <xdr:cNvPr id="4" name="Picture 3" descr="tailor-made-pensions-logo.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54000" y="1398699"/>
          <a:ext cx="2743200" cy="744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2:AE401"/>
  <sheetViews>
    <sheetView tabSelected="1" topLeftCell="A16" workbookViewId="0">
      <selection activeCell="C19" sqref="C19:D19"/>
    </sheetView>
  </sheetViews>
  <sheetFormatPr defaultColWidth="8.85546875" defaultRowHeight="15" x14ac:dyDescent="0.25"/>
  <cols>
    <col min="1" max="1" width="3.28515625" style="3" customWidth="1"/>
    <col min="2" max="2" width="18.140625" style="3" customWidth="1"/>
    <col min="3" max="3" width="10.85546875" style="3" customWidth="1"/>
    <col min="4" max="4" width="8.28515625" style="3" customWidth="1"/>
    <col min="5" max="5" width="1.42578125" style="3" customWidth="1"/>
    <col min="6" max="6" width="4.28515625" style="3" customWidth="1"/>
    <col min="7" max="7" width="8.85546875" style="3"/>
    <col min="8" max="8" width="2.7109375" style="3" customWidth="1"/>
    <col min="9" max="9" width="13.42578125" style="3" customWidth="1"/>
    <col min="10" max="10" width="8.7109375" style="3" customWidth="1"/>
    <col min="11" max="11" width="14.42578125" style="3" customWidth="1"/>
    <col min="12" max="12" width="7.140625" style="3" customWidth="1"/>
    <col min="13" max="13" width="7.42578125" style="3" customWidth="1"/>
    <col min="14" max="14" width="8.7109375" style="3" customWidth="1"/>
    <col min="15" max="15" width="13" style="3" customWidth="1"/>
    <col min="16" max="16" width="3.140625" style="3" customWidth="1"/>
    <col min="17" max="17" width="3.42578125" style="3" customWidth="1"/>
    <col min="18" max="18" width="3.28515625" style="30" customWidth="1"/>
    <col min="19" max="20" width="8.85546875" style="30"/>
    <col min="21" max="16384" width="8.85546875" style="3"/>
  </cols>
  <sheetData>
    <row r="2" spans="1:31" x14ac:dyDescent="0.25">
      <c r="B2" s="122" t="s">
        <v>150</v>
      </c>
      <c r="C2" s="123"/>
      <c r="D2" s="123"/>
      <c r="E2" s="123"/>
      <c r="F2" s="123"/>
      <c r="G2" s="123"/>
      <c r="H2" s="123"/>
      <c r="I2" s="123"/>
      <c r="J2" s="123"/>
      <c r="K2" s="123"/>
      <c r="L2" s="123"/>
      <c r="M2" s="123"/>
      <c r="N2" s="123"/>
      <c r="O2" s="123"/>
      <c r="P2" s="124"/>
      <c r="R2" s="44"/>
      <c r="S2" s="44"/>
      <c r="T2" s="44"/>
    </row>
    <row r="3" spans="1:31" ht="32.25" customHeight="1" x14ac:dyDescent="0.25">
      <c r="B3" s="125"/>
      <c r="C3" s="126"/>
      <c r="D3" s="126"/>
      <c r="E3" s="126"/>
      <c r="F3" s="126"/>
      <c r="G3" s="126"/>
      <c r="H3" s="126"/>
      <c r="I3" s="126"/>
      <c r="J3" s="126"/>
      <c r="K3" s="126"/>
      <c r="L3" s="126"/>
      <c r="M3" s="126"/>
      <c r="N3" s="126"/>
      <c r="O3" s="126"/>
      <c r="P3" s="127"/>
    </row>
    <row r="4" spans="1:31" ht="43.5" customHeight="1" x14ac:dyDescent="0.25">
      <c r="A4" s="4"/>
      <c r="B4" s="128"/>
      <c r="C4" s="129"/>
      <c r="D4" s="129"/>
      <c r="E4" s="129"/>
      <c r="F4" s="129"/>
      <c r="G4" s="129"/>
      <c r="H4" s="129"/>
      <c r="I4" s="129"/>
      <c r="J4" s="129"/>
      <c r="K4" s="129"/>
      <c r="L4" s="130"/>
      <c r="M4" s="130"/>
      <c r="N4" s="130"/>
      <c r="O4" s="130"/>
      <c r="P4" s="131"/>
      <c r="Q4" s="4"/>
    </row>
    <row r="5" spans="1:31" ht="15.75" customHeight="1" x14ac:dyDescent="0.25">
      <c r="A5" s="4"/>
      <c r="B5" s="4"/>
      <c r="C5" s="4"/>
      <c r="D5" s="4"/>
      <c r="E5" s="4"/>
      <c r="F5" s="4"/>
      <c r="G5" s="4"/>
      <c r="H5" s="4"/>
      <c r="I5" s="4"/>
      <c r="J5" s="4"/>
      <c r="K5" s="4"/>
      <c r="L5" s="4"/>
      <c r="M5" s="4"/>
      <c r="N5" s="4"/>
      <c r="O5" s="4"/>
      <c r="P5" s="4"/>
      <c r="Q5" s="4"/>
      <c r="U5" s="5"/>
      <c r="V5" s="5"/>
    </row>
    <row r="6" spans="1:31" x14ac:dyDescent="0.25">
      <c r="A6" s="4"/>
      <c r="B6" s="4"/>
      <c r="C6" s="4"/>
      <c r="D6" s="4"/>
      <c r="E6" s="4"/>
      <c r="F6" s="4"/>
      <c r="G6" s="4"/>
      <c r="H6" s="4"/>
      <c r="I6" s="4"/>
      <c r="J6" s="4"/>
      <c r="K6" s="4"/>
      <c r="L6" s="4"/>
      <c r="M6" s="4"/>
      <c r="N6" s="4"/>
      <c r="O6" s="4"/>
      <c r="P6" s="4"/>
      <c r="Q6" s="4"/>
      <c r="U6" s="5"/>
      <c r="V6" s="5"/>
    </row>
    <row r="7" spans="1:31" x14ac:dyDescent="0.25">
      <c r="A7" s="4"/>
      <c r="B7" s="4"/>
      <c r="C7" s="4"/>
      <c r="D7" s="4"/>
      <c r="E7" s="4"/>
      <c r="F7" s="4"/>
      <c r="G7" s="4"/>
      <c r="H7" s="4"/>
      <c r="I7" s="4"/>
      <c r="J7" s="4"/>
      <c r="K7" s="4"/>
      <c r="L7" s="4"/>
      <c r="M7" s="4"/>
      <c r="N7" s="4"/>
      <c r="O7" s="4"/>
      <c r="P7" s="4"/>
      <c r="Q7" s="4"/>
      <c r="U7" s="5"/>
      <c r="V7" s="5"/>
    </row>
    <row r="8" spans="1:31" ht="15" customHeight="1" x14ac:dyDescent="0.25">
      <c r="A8" s="4"/>
      <c r="B8" s="55"/>
      <c r="C8" s="55"/>
      <c r="D8" s="55"/>
      <c r="E8" s="55"/>
      <c r="F8" s="4"/>
      <c r="G8" s="4"/>
      <c r="H8" s="4"/>
      <c r="I8" s="4"/>
      <c r="J8" s="4"/>
      <c r="K8" s="4"/>
      <c r="L8" s="4"/>
      <c r="M8" s="4"/>
      <c r="N8" s="4"/>
      <c r="O8" s="4"/>
      <c r="P8" s="4"/>
      <c r="Q8" s="4"/>
      <c r="U8" s="5"/>
      <c r="V8" s="5"/>
    </row>
    <row r="9" spans="1:31" x14ac:dyDescent="0.25">
      <c r="A9" s="4"/>
      <c r="B9" s="55"/>
      <c r="C9" s="55"/>
      <c r="D9" s="55"/>
      <c r="E9" s="55"/>
      <c r="F9" s="4"/>
      <c r="G9" s="4"/>
      <c r="H9" s="4"/>
      <c r="I9" s="4"/>
      <c r="J9" s="4"/>
      <c r="K9" s="4"/>
      <c r="L9" s="4"/>
      <c r="M9" s="4"/>
      <c r="N9" s="4"/>
      <c r="O9" s="4"/>
      <c r="P9" s="4"/>
      <c r="Q9" s="4"/>
      <c r="U9" s="5"/>
      <c r="V9" s="5"/>
    </row>
    <row r="10" spans="1:31" ht="15" customHeight="1" x14ac:dyDescent="0.25">
      <c r="A10" s="4"/>
      <c r="B10" s="140" t="s">
        <v>154</v>
      </c>
      <c r="C10" s="141"/>
      <c r="D10" s="141"/>
      <c r="E10" s="142"/>
      <c r="F10" s="4"/>
      <c r="G10" s="4"/>
      <c r="H10" s="4"/>
      <c r="I10" s="4"/>
      <c r="J10" s="4"/>
      <c r="K10" s="4"/>
      <c r="L10" s="4"/>
      <c r="M10" s="4"/>
      <c r="N10" s="4"/>
      <c r="O10" s="4"/>
      <c r="P10" s="4"/>
      <c r="Q10" s="4"/>
      <c r="U10" s="6"/>
      <c r="V10" s="6"/>
    </row>
    <row r="11" spans="1:31" x14ac:dyDescent="0.25">
      <c r="A11" s="4"/>
      <c r="B11" s="143"/>
      <c r="C11" s="144"/>
      <c r="D11" s="144"/>
      <c r="E11" s="145"/>
      <c r="F11" s="4"/>
      <c r="G11" s="4"/>
      <c r="H11" s="4"/>
      <c r="I11" s="4"/>
      <c r="J11" s="4"/>
      <c r="K11" s="4"/>
      <c r="L11" s="4"/>
      <c r="M11" s="4"/>
      <c r="N11" s="4"/>
      <c r="O11" s="4"/>
      <c r="P11" s="4"/>
      <c r="Q11" s="4"/>
      <c r="U11" s="6"/>
      <c r="V11" s="6"/>
      <c r="AE11" s="4"/>
    </row>
    <row r="12" spans="1:31" x14ac:dyDescent="0.25">
      <c r="A12" s="4"/>
      <c r="B12" s="143"/>
      <c r="C12" s="144"/>
      <c r="D12" s="144"/>
      <c r="E12" s="145"/>
      <c r="F12" s="4"/>
      <c r="G12" s="4"/>
      <c r="H12" s="4"/>
      <c r="I12" s="4"/>
      <c r="J12" s="4"/>
      <c r="K12" s="4"/>
      <c r="L12" s="4"/>
      <c r="M12" s="4"/>
      <c r="N12" s="4"/>
      <c r="O12" s="4"/>
      <c r="P12" s="4"/>
      <c r="Q12" s="4"/>
      <c r="U12" s="6"/>
      <c r="V12" s="6"/>
      <c r="AE12" s="70"/>
    </row>
    <row r="13" spans="1:31" ht="6" customHeight="1" x14ac:dyDescent="0.25">
      <c r="A13" s="4"/>
      <c r="B13" s="143"/>
      <c r="C13" s="144"/>
      <c r="D13" s="144"/>
      <c r="E13" s="145"/>
      <c r="F13" s="4"/>
      <c r="G13" s="4"/>
      <c r="H13" s="4"/>
      <c r="I13" s="4"/>
      <c r="J13" s="4"/>
      <c r="K13" s="4"/>
      <c r="L13" s="4"/>
      <c r="M13" s="4"/>
      <c r="N13" s="4"/>
      <c r="O13" s="4"/>
      <c r="P13" s="4"/>
      <c r="Q13" s="4"/>
      <c r="U13" s="6"/>
      <c r="V13" s="6"/>
      <c r="AE13" s="70"/>
    </row>
    <row r="14" spans="1:31" x14ac:dyDescent="0.25">
      <c r="A14" s="4"/>
      <c r="B14" s="143"/>
      <c r="C14" s="144"/>
      <c r="D14" s="144"/>
      <c r="E14" s="145"/>
      <c r="F14" s="4"/>
      <c r="G14" s="4"/>
      <c r="H14" s="4"/>
      <c r="I14" s="4"/>
      <c r="J14" s="4"/>
      <c r="K14" s="4"/>
      <c r="L14" s="4"/>
      <c r="M14" s="4"/>
      <c r="N14" s="4"/>
      <c r="O14" s="4"/>
      <c r="P14" s="4"/>
      <c r="Q14" s="4"/>
      <c r="U14" s="6"/>
      <c r="V14" s="6"/>
      <c r="AE14" s="70"/>
    </row>
    <row r="15" spans="1:31" ht="11.25" customHeight="1" x14ac:dyDescent="0.25">
      <c r="A15" s="4"/>
      <c r="B15" s="146"/>
      <c r="C15" s="147"/>
      <c r="D15" s="147"/>
      <c r="E15" s="148"/>
      <c r="F15" s="4"/>
      <c r="G15" s="4"/>
      <c r="H15" s="4"/>
      <c r="I15" s="4"/>
      <c r="J15" s="4"/>
      <c r="K15" s="4"/>
      <c r="L15" s="4"/>
      <c r="M15" s="4"/>
      <c r="N15" s="4"/>
      <c r="O15" s="4"/>
      <c r="P15" s="4"/>
      <c r="Q15" s="4"/>
      <c r="U15" s="6"/>
      <c r="V15" s="6"/>
      <c r="AE15" s="70"/>
    </row>
    <row r="16" spans="1:31" x14ac:dyDescent="0.25">
      <c r="A16" s="4"/>
      <c r="B16" s="7"/>
      <c r="C16" s="7"/>
      <c r="D16" s="7"/>
      <c r="E16" s="8"/>
      <c r="F16" s="4"/>
      <c r="G16" s="4"/>
      <c r="H16" s="4"/>
      <c r="I16" s="4"/>
      <c r="J16" s="4"/>
      <c r="K16" s="4"/>
      <c r="L16" s="4"/>
      <c r="M16" s="4"/>
      <c r="N16" s="4"/>
      <c r="O16" s="4"/>
      <c r="P16" s="4"/>
      <c r="Q16" s="4"/>
      <c r="U16" s="6"/>
      <c r="V16" s="6"/>
      <c r="AE16" s="70"/>
    </row>
    <row r="17" spans="1:31" x14ac:dyDescent="0.25">
      <c r="A17" s="4"/>
      <c r="B17" s="9" t="s">
        <v>70</v>
      </c>
      <c r="E17" s="4"/>
      <c r="F17" s="4"/>
      <c r="G17" s="4"/>
      <c r="H17" s="4"/>
      <c r="I17" s="4"/>
      <c r="J17" s="4"/>
      <c r="K17" s="4"/>
      <c r="L17" s="4"/>
      <c r="M17" s="4"/>
      <c r="N17" s="4"/>
      <c r="O17" s="4"/>
      <c r="P17" s="4"/>
      <c r="Q17" s="4"/>
      <c r="U17" s="6"/>
      <c r="V17" s="6"/>
      <c r="AE17" s="70"/>
    </row>
    <row r="18" spans="1:31" x14ac:dyDescent="0.25">
      <c r="A18" s="4"/>
      <c r="B18" s="10"/>
      <c r="C18" s="11"/>
      <c r="D18" s="12"/>
      <c r="E18" s="13"/>
      <c r="F18" s="4"/>
      <c r="G18" s="4"/>
      <c r="H18" s="4"/>
      <c r="I18" s="4"/>
      <c r="J18" s="4"/>
      <c r="K18" s="4"/>
      <c r="L18" s="4"/>
      <c r="M18" s="4"/>
      <c r="N18" s="4"/>
      <c r="O18" s="4"/>
      <c r="P18" s="4"/>
      <c r="Q18" s="4"/>
      <c r="U18" s="6"/>
      <c r="V18" s="6"/>
      <c r="AE18" s="70"/>
    </row>
    <row r="19" spans="1:31" x14ac:dyDescent="0.25">
      <c r="A19" s="4"/>
      <c r="B19" s="10" t="s">
        <v>65</v>
      </c>
      <c r="C19" s="134" t="s">
        <v>87</v>
      </c>
      <c r="D19" s="133"/>
      <c r="E19" s="14"/>
      <c r="F19" s="4"/>
      <c r="G19" s="4"/>
      <c r="H19" s="4"/>
      <c r="I19" s="4"/>
      <c r="J19" s="4"/>
      <c r="K19" s="4"/>
      <c r="L19" s="4"/>
      <c r="M19" s="4"/>
      <c r="N19" s="4"/>
      <c r="O19" s="4"/>
      <c r="P19" s="4"/>
      <c r="Q19" s="4"/>
      <c r="U19" s="6"/>
      <c r="V19" s="6"/>
      <c r="AE19" s="70"/>
    </row>
    <row r="20" spans="1:31" ht="3.75" customHeight="1" x14ac:dyDescent="0.25">
      <c r="A20" s="4"/>
      <c r="B20" s="15" t="s">
        <v>64</v>
      </c>
      <c r="C20" s="16" t="s">
        <v>88</v>
      </c>
      <c r="D20" s="17"/>
      <c r="E20" s="18"/>
      <c r="F20" s="4"/>
      <c r="G20" s="4"/>
      <c r="H20" s="4"/>
      <c r="I20" s="4"/>
      <c r="J20" s="4"/>
      <c r="K20" s="4"/>
      <c r="L20" s="4"/>
      <c r="M20" s="4"/>
      <c r="N20" s="4"/>
      <c r="O20" s="4"/>
      <c r="P20" s="4"/>
      <c r="Q20" s="4"/>
      <c r="U20" s="6"/>
      <c r="V20" s="6"/>
      <c r="AE20" s="4"/>
    </row>
    <row r="21" spans="1:31" ht="15" customHeight="1" x14ac:dyDescent="0.25">
      <c r="A21" s="4"/>
      <c r="B21" s="15" t="s">
        <v>86</v>
      </c>
      <c r="C21" s="132" t="s">
        <v>89</v>
      </c>
      <c r="D21" s="133"/>
      <c r="E21" s="18"/>
      <c r="F21" s="4"/>
      <c r="G21" s="4"/>
      <c r="H21" s="4"/>
      <c r="I21" s="4"/>
      <c r="J21" s="4"/>
      <c r="K21" s="4"/>
      <c r="L21" s="4"/>
      <c r="M21" s="4"/>
      <c r="N21" s="4"/>
      <c r="O21" s="4"/>
      <c r="P21" s="4"/>
      <c r="Q21" s="4"/>
      <c r="U21" s="6"/>
      <c r="V21" s="6"/>
      <c r="AE21" s="4"/>
    </row>
    <row r="22" spans="1:31" ht="9" customHeight="1" x14ac:dyDescent="0.25">
      <c r="A22" s="4"/>
      <c r="B22" s="15"/>
      <c r="C22" s="19"/>
      <c r="D22" s="20"/>
      <c r="E22" s="18"/>
      <c r="F22" s="4"/>
      <c r="G22" s="4"/>
      <c r="H22" s="4"/>
      <c r="I22" s="4"/>
      <c r="J22" s="4"/>
      <c r="K22" s="4"/>
      <c r="L22" s="4"/>
      <c r="M22" s="4"/>
      <c r="N22" s="4"/>
      <c r="O22" s="4"/>
      <c r="P22" s="4"/>
      <c r="Q22" s="4"/>
      <c r="U22" s="6"/>
      <c r="V22" s="6"/>
    </row>
    <row r="23" spans="1:31" ht="15" customHeight="1" x14ac:dyDescent="0.25">
      <c r="A23" s="4"/>
      <c r="B23" s="21" t="s">
        <v>98</v>
      </c>
      <c r="C23" s="19"/>
      <c r="D23" s="22" t="s">
        <v>97</v>
      </c>
      <c r="E23" s="18"/>
      <c r="F23" s="4"/>
      <c r="G23" s="4"/>
      <c r="H23" s="4"/>
      <c r="I23" s="4"/>
      <c r="J23" s="4"/>
      <c r="K23" s="4"/>
      <c r="L23" s="4"/>
      <c r="M23" s="4"/>
      <c r="N23" s="4"/>
      <c r="O23" s="4"/>
      <c r="P23" s="4"/>
      <c r="Q23" s="4"/>
      <c r="U23" s="6"/>
      <c r="V23" s="6"/>
    </row>
    <row r="24" spans="1:31" ht="3.75" customHeight="1" x14ac:dyDescent="0.25">
      <c r="A24" s="4"/>
      <c r="B24" s="15"/>
      <c r="C24" s="23"/>
      <c r="D24" s="23"/>
      <c r="E24" s="18"/>
      <c r="F24" s="4"/>
      <c r="G24" s="4"/>
      <c r="H24" s="4"/>
      <c r="I24" s="4"/>
      <c r="J24" s="4"/>
      <c r="K24" s="4"/>
      <c r="L24" s="4"/>
      <c r="M24" s="4"/>
      <c r="N24" s="4"/>
      <c r="O24" s="4"/>
      <c r="P24" s="4"/>
      <c r="Q24" s="4"/>
      <c r="U24" s="6"/>
      <c r="V24" s="6"/>
    </row>
    <row r="25" spans="1:31" x14ac:dyDescent="0.25">
      <c r="A25" s="4"/>
      <c r="B25" s="15"/>
      <c r="C25" s="23"/>
      <c r="D25" s="23"/>
      <c r="E25" s="18"/>
      <c r="F25" s="4"/>
      <c r="G25" s="4"/>
      <c r="H25" s="4"/>
      <c r="I25" s="4"/>
      <c r="J25" s="4"/>
      <c r="K25" s="4"/>
      <c r="L25" s="4"/>
      <c r="M25" s="4"/>
      <c r="N25" s="4"/>
      <c r="O25" s="4"/>
      <c r="P25" s="4"/>
      <c r="Q25" s="4"/>
      <c r="U25" s="5"/>
      <c r="V25" s="5"/>
    </row>
    <row r="26" spans="1:31" x14ac:dyDescent="0.25">
      <c r="A26" s="4"/>
      <c r="B26" s="15"/>
      <c r="C26" s="23"/>
      <c r="D26" s="23"/>
      <c r="E26" s="18"/>
      <c r="F26" s="4"/>
      <c r="G26" s="4"/>
      <c r="H26" s="4"/>
      <c r="I26" s="4"/>
      <c r="J26" s="4"/>
      <c r="K26" s="4"/>
      <c r="L26" s="4"/>
      <c r="M26" s="4"/>
      <c r="N26" s="4"/>
      <c r="O26" s="4"/>
      <c r="P26" s="4"/>
      <c r="Q26" s="4"/>
      <c r="U26" s="5"/>
      <c r="V26" s="5"/>
    </row>
    <row r="27" spans="1:31" x14ac:dyDescent="0.25">
      <c r="A27" s="4"/>
      <c r="B27" s="15" t="s">
        <v>126</v>
      </c>
      <c r="C27" s="2">
        <v>1000</v>
      </c>
      <c r="D27" s="24" t="str">
        <f>Calc_sheet!AM66</f>
        <v>GBP (£)</v>
      </c>
      <c r="E27" s="18"/>
      <c r="F27" s="4"/>
      <c r="G27" s="4"/>
      <c r="H27" s="4"/>
      <c r="I27" s="4"/>
      <c r="J27" s="4"/>
      <c r="K27" s="4"/>
      <c r="L27" s="4"/>
      <c r="M27" s="4"/>
      <c r="N27" s="4"/>
      <c r="O27" s="4"/>
      <c r="P27" s="4"/>
      <c r="Q27" s="4"/>
      <c r="U27" s="5"/>
      <c r="V27" s="5"/>
    </row>
    <row r="28" spans="1:31" ht="7.5" customHeight="1" x14ac:dyDescent="0.25">
      <c r="A28" s="4"/>
      <c r="B28" s="15"/>
      <c r="C28" s="25"/>
      <c r="D28" s="25"/>
      <c r="E28" s="18"/>
      <c r="F28" s="4"/>
      <c r="G28" s="4"/>
      <c r="H28" s="4"/>
      <c r="I28" s="4"/>
      <c r="J28" s="4"/>
      <c r="K28" s="4"/>
      <c r="L28" s="4"/>
      <c r="M28" s="4"/>
      <c r="N28" s="4"/>
      <c r="O28" s="4"/>
      <c r="P28" s="4"/>
      <c r="Q28" s="4"/>
      <c r="U28" s="5"/>
      <c r="V28" s="5"/>
    </row>
    <row r="29" spans="1:31" x14ac:dyDescent="0.25">
      <c r="A29" s="4"/>
      <c r="B29" s="15" t="s">
        <v>45</v>
      </c>
      <c r="C29" s="1">
        <v>7</v>
      </c>
      <c r="D29" s="26" t="s">
        <v>8</v>
      </c>
      <c r="E29" s="14"/>
      <c r="F29" s="4"/>
      <c r="G29" s="4"/>
      <c r="H29" s="4"/>
      <c r="I29" s="4"/>
      <c r="J29" s="4"/>
      <c r="K29" s="4"/>
      <c r="L29" s="4"/>
      <c r="M29" s="4"/>
      <c r="N29" s="4"/>
      <c r="O29" s="4"/>
      <c r="P29" s="4"/>
      <c r="Q29" s="4"/>
      <c r="U29" s="5"/>
      <c r="V29" s="5"/>
    </row>
    <row r="30" spans="1:31" x14ac:dyDescent="0.25">
      <c r="A30" s="4"/>
      <c r="B30" s="15" t="s">
        <v>135</v>
      </c>
      <c r="C30" s="1">
        <v>5</v>
      </c>
      <c r="D30" s="24" t="s">
        <v>99</v>
      </c>
      <c r="E30" s="14"/>
      <c r="F30" s="4"/>
      <c r="G30" s="4"/>
      <c r="H30" s="4"/>
      <c r="I30" s="4"/>
      <c r="J30" s="4"/>
      <c r="K30" s="4"/>
      <c r="L30" s="4"/>
      <c r="M30" s="4"/>
      <c r="N30" s="4"/>
      <c r="O30" s="4"/>
      <c r="P30" s="4"/>
      <c r="Q30" s="4"/>
      <c r="U30" s="5"/>
      <c r="V30" s="5"/>
    </row>
    <row r="31" spans="1:31" x14ac:dyDescent="0.25">
      <c r="A31" s="4"/>
      <c r="B31" s="15" t="s">
        <v>129</v>
      </c>
      <c r="C31" s="138" t="s">
        <v>110</v>
      </c>
      <c r="D31" s="139"/>
      <c r="E31" s="18"/>
      <c r="F31" s="4"/>
      <c r="G31" s="4"/>
      <c r="H31" s="4"/>
      <c r="I31" s="4"/>
      <c r="J31" s="4"/>
      <c r="K31" s="4"/>
      <c r="L31" s="4"/>
      <c r="M31" s="4"/>
      <c r="N31" s="4"/>
      <c r="O31" s="4"/>
      <c r="P31" s="4"/>
      <c r="Q31" s="4"/>
      <c r="U31" s="5"/>
      <c r="V31" s="5"/>
    </row>
    <row r="32" spans="1:31" x14ac:dyDescent="0.25">
      <c r="A32" s="4"/>
      <c r="B32" s="15" t="s">
        <v>115</v>
      </c>
      <c r="C32" s="1">
        <v>3</v>
      </c>
      <c r="D32" s="24" t="s">
        <v>99</v>
      </c>
      <c r="E32" s="18"/>
      <c r="F32" s="4"/>
      <c r="G32" s="4"/>
      <c r="H32" s="4"/>
      <c r="I32" s="4"/>
      <c r="J32" s="4"/>
      <c r="K32" s="4"/>
      <c r="L32" s="4"/>
      <c r="M32" s="4"/>
      <c r="N32" s="4"/>
      <c r="O32" s="4"/>
      <c r="P32" s="4"/>
      <c r="Q32" s="4"/>
      <c r="U32" s="5"/>
      <c r="V32" s="5"/>
    </row>
    <row r="33" spans="1:31" ht="9" customHeight="1" thickBot="1" x14ac:dyDescent="0.3">
      <c r="A33" s="4"/>
      <c r="B33" s="15"/>
      <c r="C33" s="25"/>
      <c r="D33" s="23"/>
      <c r="E33" s="18"/>
      <c r="F33" s="4"/>
      <c r="G33" s="4"/>
      <c r="H33" s="4"/>
      <c r="I33" s="4"/>
      <c r="J33" s="4"/>
      <c r="K33" s="4"/>
      <c r="L33" s="4"/>
      <c r="M33" s="4"/>
      <c r="N33" s="4"/>
      <c r="O33" s="4"/>
      <c r="P33" s="4"/>
      <c r="Q33" s="4"/>
      <c r="U33" s="5"/>
      <c r="V33" s="5"/>
    </row>
    <row r="34" spans="1:31" ht="13.5" customHeight="1" x14ac:dyDescent="0.25">
      <c r="A34" s="4"/>
      <c r="B34" s="15"/>
      <c r="C34" s="59" t="s">
        <v>145</v>
      </c>
      <c r="D34" s="60"/>
      <c r="E34" s="18"/>
      <c r="F34" s="4"/>
      <c r="G34" s="4"/>
      <c r="H34" s="4"/>
      <c r="I34" s="4"/>
      <c r="J34" s="4"/>
      <c r="K34" s="4"/>
      <c r="L34" s="4"/>
      <c r="M34" s="4"/>
      <c r="N34" s="4"/>
      <c r="O34" s="4"/>
      <c r="P34" s="4"/>
      <c r="Q34" s="4"/>
      <c r="U34" s="5"/>
      <c r="V34" s="5"/>
    </row>
    <row r="35" spans="1:31" ht="15.75" thickBot="1" x14ac:dyDescent="0.3">
      <c r="A35" s="4"/>
      <c r="B35" s="15"/>
      <c r="C35" s="61">
        <v>5</v>
      </c>
      <c r="D35" s="62" t="s">
        <v>8</v>
      </c>
      <c r="E35" s="18"/>
      <c r="F35" s="4"/>
      <c r="G35" s="4"/>
      <c r="H35" s="4"/>
      <c r="I35" s="4"/>
      <c r="J35" s="4"/>
      <c r="K35" s="4"/>
      <c r="L35" s="4"/>
      <c r="M35" s="4"/>
      <c r="N35" s="4"/>
      <c r="O35" s="4"/>
      <c r="P35" s="4"/>
      <c r="Q35" s="4"/>
      <c r="U35" s="5"/>
      <c r="V35" s="5"/>
    </row>
    <row r="36" spans="1:31" s="4" customFormat="1" x14ac:dyDescent="0.25">
      <c r="B36" s="27" t="s">
        <v>85</v>
      </c>
      <c r="C36" s="28"/>
      <c r="D36" s="28"/>
      <c r="E36" s="29"/>
      <c r="R36" s="30"/>
      <c r="S36" s="30"/>
      <c r="T36" s="30"/>
      <c r="U36" s="30"/>
      <c r="V36" s="30"/>
    </row>
    <row r="37" spans="1:31" x14ac:dyDescent="0.25">
      <c r="A37" s="4"/>
      <c r="F37" s="4"/>
      <c r="G37" s="4"/>
      <c r="H37" s="4"/>
      <c r="I37" s="4"/>
      <c r="J37" s="4"/>
      <c r="K37" s="4"/>
      <c r="L37" s="4"/>
      <c r="M37" s="4"/>
      <c r="N37" s="4"/>
      <c r="O37" s="4"/>
      <c r="P37" s="4"/>
      <c r="Q37" s="4"/>
      <c r="U37" s="5"/>
      <c r="V37" s="5"/>
    </row>
    <row r="38" spans="1:31" ht="4.5" customHeight="1" x14ac:dyDescent="0.25">
      <c r="A38" s="4"/>
      <c r="B38" s="4"/>
      <c r="C38" s="4"/>
      <c r="D38" s="4"/>
      <c r="E38" s="4"/>
      <c r="F38" s="4"/>
      <c r="G38" s="4"/>
      <c r="H38" s="4"/>
      <c r="I38" s="4"/>
      <c r="J38" s="4"/>
      <c r="K38" s="4"/>
      <c r="L38" s="54"/>
      <c r="M38" s="54"/>
      <c r="N38" s="54"/>
      <c r="O38" s="54"/>
      <c r="P38" s="4"/>
      <c r="Q38" s="4"/>
      <c r="U38" s="5"/>
      <c r="V38" s="5"/>
    </row>
    <row r="39" spans="1:31" x14ac:dyDescent="0.25">
      <c r="A39" s="4"/>
      <c r="B39" s="4"/>
      <c r="C39" s="4"/>
      <c r="D39" s="4"/>
      <c r="E39" s="4"/>
      <c r="F39" s="4"/>
      <c r="G39" s="149" t="s">
        <v>103</v>
      </c>
      <c r="H39" s="150"/>
      <c r="I39" s="151"/>
      <c r="J39" s="120" t="s">
        <v>149</v>
      </c>
      <c r="K39" s="121"/>
      <c r="L39" s="135" t="s">
        <v>128</v>
      </c>
      <c r="M39" s="136"/>
      <c r="N39" s="136"/>
      <c r="O39" s="137"/>
      <c r="P39" s="4"/>
      <c r="Q39" s="4"/>
      <c r="U39" s="5"/>
      <c r="V39" s="5"/>
    </row>
    <row r="40" spans="1:31" x14ac:dyDescent="0.25">
      <c r="A40" s="4"/>
      <c r="B40" s="4"/>
      <c r="C40" s="4"/>
      <c r="D40" s="4"/>
      <c r="E40" s="4"/>
      <c r="F40" s="4"/>
      <c r="G40" s="118" t="str">
        <f>Calc_sheet!AN66</f>
        <v>GBP (£)</v>
      </c>
      <c r="H40" s="119"/>
      <c r="I40" s="69">
        <f>Calc_sheet!AS61</f>
        <v>54531.693555404963</v>
      </c>
      <c r="J40" s="67" t="str">
        <f>Calc_sheet!AN66</f>
        <v>GBP (£)</v>
      </c>
      <c r="K40" s="68">
        <f>Calc_sheet!AS62</f>
        <v>69063.148115238844</v>
      </c>
      <c r="L40" s="106">
        <f>Calc_sheet!AS64</f>
        <v>0.26647722842258181</v>
      </c>
      <c r="M40" s="107" t="str">
        <f>"  equal to  "</f>
        <v xml:space="preserve">  equal to  </v>
      </c>
      <c r="N40" s="108" t="str">
        <f>Calc_sheet!AN66</f>
        <v>GBP (£)</v>
      </c>
      <c r="O40" s="109">
        <f>Calc_sheet!AS63</f>
        <v>14531.454559833881</v>
      </c>
      <c r="P40" s="4"/>
      <c r="Q40" s="4"/>
      <c r="U40" s="5"/>
      <c r="V40" s="5"/>
    </row>
    <row r="41" spans="1:31" ht="8.25" customHeight="1" thickBot="1" x14ac:dyDescent="0.3">
      <c r="A41" s="4"/>
      <c r="B41" s="4"/>
      <c r="C41" s="4"/>
      <c r="D41" s="4"/>
      <c r="E41" s="4"/>
      <c r="F41" s="4"/>
      <c r="G41" s="4"/>
      <c r="H41" s="4"/>
      <c r="I41" s="4"/>
      <c r="J41" s="4"/>
      <c r="K41" s="4"/>
      <c r="L41" s="4"/>
      <c r="M41" s="4"/>
      <c r="N41" s="4"/>
      <c r="O41" s="4"/>
      <c r="P41" s="4"/>
      <c r="Q41" s="4"/>
      <c r="U41" s="5"/>
      <c r="V41" s="5"/>
    </row>
    <row r="42" spans="1:31" ht="15.75" thickBot="1" x14ac:dyDescent="0.3">
      <c r="A42" s="4"/>
      <c r="B42" s="116" t="s">
        <v>134</v>
      </c>
      <c r="C42" s="117"/>
      <c r="D42" s="110" t="str">
        <f>C31</f>
        <v>Royal London</v>
      </c>
      <c r="E42" s="110"/>
      <c r="F42" s="110"/>
      <c r="G42" s="110"/>
      <c r="H42" s="111" t="s">
        <v>132</v>
      </c>
      <c r="I42" s="112"/>
      <c r="J42" s="113"/>
      <c r="K42" s="45">
        <f>IF(C32=0,0,Calc_sheet!AL34)</f>
        <v>32465.221637662362</v>
      </c>
      <c r="L42" s="57" t="str">
        <f>C32&amp;" Year"</f>
        <v>3 Year</v>
      </c>
      <c r="M42" s="114" t="s">
        <v>133</v>
      </c>
      <c r="N42" s="115"/>
      <c r="O42" s="58">
        <f>IF(C32=0,0,Calc_sheet!AL57)</f>
        <v>32465.221637662362</v>
      </c>
      <c r="P42" s="4"/>
      <c r="Q42" s="4"/>
      <c r="U42" s="5"/>
      <c r="V42" s="5"/>
    </row>
    <row r="43" spans="1:31" x14ac:dyDescent="0.25">
      <c r="A43" s="4"/>
      <c r="B43" s="4"/>
      <c r="C43" s="4"/>
      <c r="D43" s="4"/>
      <c r="E43" s="4"/>
      <c r="F43" s="4"/>
      <c r="G43" s="4"/>
      <c r="H43" s="4"/>
      <c r="I43" s="4"/>
      <c r="J43" s="4"/>
      <c r="K43" s="4"/>
      <c r="L43" s="4"/>
      <c r="M43" s="4"/>
      <c r="N43" s="4"/>
      <c r="O43" s="4"/>
      <c r="P43" s="4"/>
      <c r="Q43" s="4"/>
      <c r="U43" s="5"/>
      <c r="V43" s="5"/>
    </row>
    <row r="44" spans="1:31" x14ac:dyDescent="0.25">
      <c r="A44" s="4"/>
      <c r="B44" s="4"/>
      <c r="C44" s="4"/>
      <c r="D44" s="4"/>
      <c r="E44" s="4"/>
      <c r="F44" s="4"/>
      <c r="G44" s="4"/>
      <c r="H44" s="4"/>
      <c r="I44" s="4"/>
      <c r="J44" s="4"/>
      <c r="K44" s="4"/>
      <c r="L44" s="4"/>
      <c r="M44" s="4"/>
      <c r="N44" s="4"/>
      <c r="O44" s="4"/>
      <c r="P44" s="4"/>
      <c r="Q44" s="4"/>
      <c r="U44" s="5"/>
      <c r="V44" s="5"/>
      <c r="AE44" s="71" t="s">
        <v>108</v>
      </c>
    </row>
    <row r="45" spans="1:31" x14ac:dyDescent="0.25">
      <c r="A45" s="4"/>
      <c r="B45" s="4"/>
      <c r="C45" s="4"/>
      <c r="D45" s="4"/>
      <c r="E45" s="4"/>
      <c r="F45" s="4"/>
      <c r="G45" s="4"/>
      <c r="H45" s="4"/>
      <c r="I45" s="4"/>
      <c r="J45" s="4"/>
      <c r="K45" s="4"/>
      <c r="L45" s="4"/>
      <c r="M45" s="4"/>
      <c r="N45" s="4"/>
      <c r="O45" s="4"/>
      <c r="P45" s="4"/>
      <c r="Q45" s="4"/>
      <c r="U45" s="5"/>
      <c r="V45" s="5"/>
      <c r="AE45" s="71" t="s">
        <v>121</v>
      </c>
    </row>
    <row r="46" spans="1:31" x14ac:dyDescent="0.25">
      <c r="A46" s="4"/>
      <c r="B46" s="4"/>
      <c r="C46" s="4"/>
      <c r="D46" s="4"/>
      <c r="E46" s="4"/>
      <c r="F46" s="4"/>
      <c r="G46" s="4"/>
      <c r="H46" s="4"/>
      <c r="I46" s="4"/>
      <c r="J46" s="4"/>
      <c r="K46" s="4"/>
      <c r="L46" s="4"/>
      <c r="M46" s="4"/>
      <c r="N46" s="4"/>
      <c r="O46" s="4"/>
      <c r="P46" s="4"/>
      <c r="Q46" s="4"/>
      <c r="U46" s="5"/>
      <c r="V46" s="5"/>
      <c r="AE46" s="71" t="s">
        <v>109</v>
      </c>
    </row>
    <row r="47" spans="1:31" x14ac:dyDescent="0.25">
      <c r="A47" s="4"/>
      <c r="B47" s="4"/>
      <c r="C47" s="4"/>
      <c r="D47" s="4"/>
      <c r="E47" s="4"/>
      <c r="F47" s="4"/>
      <c r="G47" s="4"/>
      <c r="H47" s="4"/>
      <c r="I47" s="4"/>
      <c r="J47" s="4"/>
      <c r="K47" s="4"/>
      <c r="L47" s="4"/>
      <c r="M47" s="4"/>
      <c r="N47" s="4"/>
      <c r="O47" s="4"/>
      <c r="P47" s="4"/>
      <c r="Q47" s="4"/>
      <c r="U47" s="5"/>
      <c r="V47" s="5"/>
      <c r="AE47" s="71" t="s">
        <v>144</v>
      </c>
    </row>
    <row r="48" spans="1:31" x14ac:dyDescent="0.25">
      <c r="A48" s="4"/>
      <c r="B48" s="4"/>
      <c r="C48" s="4"/>
      <c r="D48" s="4"/>
      <c r="E48" s="4"/>
      <c r="F48" s="4"/>
      <c r="G48" s="4"/>
      <c r="H48" s="4"/>
      <c r="I48" s="4"/>
      <c r="J48" s="4"/>
      <c r="K48" s="4"/>
      <c r="L48" s="4"/>
      <c r="M48" s="4"/>
      <c r="N48" s="4"/>
      <c r="O48" s="4"/>
      <c r="P48" s="4"/>
      <c r="Q48" s="4"/>
      <c r="U48" s="5"/>
      <c r="V48" s="5"/>
      <c r="AE48" s="71" t="s">
        <v>111</v>
      </c>
    </row>
    <row r="49" spans="1:31" x14ac:dyDescent="0.25">
      <c r="A49" s="4"/>
      <c r="B49" s="4"/>
      <c r="C49" s="4"/>
      <c r="D49" s="4"/>
      <c r="E49" s="4"/>
      <c r="F49" s="4"/>
      <c r="G49" s="4"/>
      <c r="H49" s="4"/>
      <c r="I49" s="4"/>
      <c r="J49" s="4"/>
      <c r="K49" s="4"/>
      <c r="L49" s="4"/>
      <c r="M49" s="4"/>
      <c r="N49" s="4"/>
      <c r="O49" s="4"/>
      <c r="P49" s="4"/>
      <c r="Q49" s="4"/>
      <c r="U49" s="5"/>
      <c r="V49" s="5"/>
      <c r="AE49" s="71" t="s">
        <v>21</v>
      </c>
    </row>
    <row r="50" spans="1:31" x14ac:dyDescent="0.25">
      <c r="A50" s="4"/>
      <c r="B50" s="4"/>
      <c r="C50" s="4"/>
      <c r="D50" s="4"/>
      <c r="E50" s="4"/>
      <c r="F50" s="4"/>
      <c r="G50" s="4"/>
      <c r="H50" s="4"/>
      <c r="I50" s="4"/>
      <c r="J50" s="4"/>
      <c r="K50" s="4"/>
      <c r="L50" s="4"/>
      <c r="M50" s="4"/>
      <c r="N50" s="4"/>
      <c r="O50" s="4"/>
      <c r="P50" s="4"/>
      <c r="Q50" s="4"/>
      <c r="U50" s="5"/>
      <c r="V50" s="5"/>
      <c r="AE50" s="71" t="s">
        <v>110</v>
      </c>
    </row>
    <row r="51" spans="1:31" x14ac:dyDescent="0.25">
      <c r="A51" s="4"/>
      <c r="B51" s="4"/>
      <c r="C51" s="4"/>
      <c r="D51" s="4"/>
      <c r="E51" s="4"/>
      <c r="F51" s="4"/>
      <c r="G51" s="4"/>
      <c r="H51" s="4"/>
      <c r="I51" s="4"/>
      <c r="J51" s="4"/>
      <c r="K51" s="4"/>
      <c r="L51" s="4"/>
      <c r="M51" s="4"/>
      <c r="N51" s="4"/>
      <c r="O51" s="4"/>
      <c r="P51" s="4"/>
      <c r="Q51" s="4"/>
      <c r="U51" s="5"/>
      <c r="V51" s="5"/>
      <c r="AE51" s="71" t="s">
        <v>112</v>
      </c>
    </row>
    <row r="52" spans="1:31" x14ac:dyDescent="0.25">
      <c r="A52" s="4"/>
      <c r="B52" s="4"/>
      <c r="C52" s="4"/>
      <c r="D52" s="4"/>
      <c r="E52" s="4"/>
      <c r="F52" s="4"/>
      <c r="G52" s="4"/>
      <c r="H52" s="4"/>
      <c r="I52" s="4"/>
      <c r="J52" s="4"/>
      <c r="K52" s="4"/>
      <c r="L52" s="4"/>
      <c r="M52" s="4"/>
      <c r="N52" s="4"/>
      <c r="O52" s="4"/>
      <c r="P52" s="4"/>
      <c r="Q52" s="4"/>
      <c r="U52" s="5"/>
      <c r="V52" s="5"/>
    </row>
    <row r="53" spans="1:31" x14ac:dyDescent="0.25">
      <c r="A53" s="4"/>
      <c r="B53" s="4"/>
      <c r="C53" s="4"/>
      <c r="D53" s="4"/>
      <c r="E53" s="4"/>
      <c r="F53" s="4"/>
      <c r="G53" s="4"/>
      <c r="H53" s="4"/>
      <c r="I53" s="4"/>
      <c r="J53" s="4"/>
      <c r="K53" s="4"/>
      <c r="L53" s="4"/>
      <c r="M53" s="4"/>
      <c r="N53" s="4"/>
      <c r="O53" s="4"/>
      <c r="P53" s="4"/>
      <c r="Q53" s="4"/>
      <c r="U53" s="5"/>
      <c r="V53" s="5"/>
    </row>
    <row r="54" spans="1:31" x14ac:dyDescent="0.25">
      <c r="A54" s="4"/>
      <c r="B54" s="4"/>
      <c r="C54" s="4"/>
      <c r="D54" s="4"/>
      <c r="E54" s="4"/>
      <c r="F54" s="4"/>
      <c r="G54" s="4"/>
      <c r="H54" s="4"/>
      <c r="I54" s="4"/>
      <c r="J54" s="4"/>
      <c r="K54" s="4"/>
      <c r="L54" s="4"/>
      <c r="M54" s="4"/>
      <c r="N54" s="4"/>
      <c r="O54" s="4"/>
      <c r="P54" s="4"/>
      <c r="Q54" s="4"/>
      <c r="U54" s="5"/>
      <c r="V54" s="5"/>
    </row>
    <row r="55" spans="1:31" x14ac:dyDescent="0.25">
      <c r="A55" s="4"/>
      <c r="B55" s="4"/>
      <c r="C55" s="4"/>
      <c r="D55" s="4"/>
      <c r="E55" s="4"/>
      <c r="F55" s="4"/>
      <c r="G55" s="4"/>
      <c r="H55" s="4"/>
      <c r="I55" s="4"/>
      <c r="J55" s="4"/>
      <c r="K55" s="4"/>
      <c r="L55" s="4"/>
      <c r="M55" s="4"/>
      <c r="N55" s="4"/>
      <c r="O55" s="4"/>
      <c r="P55" s="4"/>
      <c r="Q55" s="4"/>
      <c r="U55" s="5"/>
      <c r="V55" s="5"/>
    </row>
    <row r="56" spans="1:31" x14ac:dyDescent="0.25">
      <c r="A56" s="4"/>
      <c r="B56" s="4"/>
      <c r="C56" s="4"/>
      <c r="D56" s="4"/>
      <c r="E56" s="4"/>
      <c r="F56" s="4"/>
      <c r="G56" s="4"/>
      <c r="H56" s="4"/>
      <c r="I56" s="4"/>
      <c r="J56" s="4"/>
      <c r="K56" s="4"/>
      <c r="L56" s="54"/>
      <c r="M56" s="54"/>
      <c r="N56" s="54"/>
      <c r="O56" s="54"/>
      <c r="P56" s="4"/>
      <c r="Q56" s="4"/>
      <c r="U56" s="5"/>
      <c r="V56" s="5"/>
    </row>
    <row r="57" spans="1:31" x14ac:dyDescent="0.25">
      <c r="A57" s="4"/>
      <c r="B57" s="4"/>
      <c r="C57" s="4"/>
      <c r="D57" s="4"/>
      <c r="E57" s="4"/>
      <c r="F57" s="4"/>
      <c r="G57" s="4"/>
      <c r="H57" s="4"/>
      <c r="I57" s="4"/>
      <c r="J57" s="4"/>
      <c r="K57" s="4"/>
      <c r="L57" s="54"/>
      <c r="M57" s="54"/>
      <c r="N57" s="54"/>
      <c r="O57" s="54"/>
      <c r="P57" s="4"/>
      <c r="Q57" s="4"/>
      <c r="U57" s="5"/>
      <c r="V57" s="5"/>
    </row>
    <row r="58" spans="1:31" x14ac:dyDescent="0.25">
      <c r="A58" s="4"/>
      <c r="B58" s="4"/>
      <c r="C58" s="4"/>
      <c r="D58" s="4"/>
      <c r="E58" s="4"/>
      <c r="F58" s="4"/>
      <c r="G58" s="4"/>
      <c r="H58" s="4"/>
      <c r="I58" s="4"/>
      <c r="J58" s="4"/>
      <c r="K58" s="4"/>
      <c r="L58" s="54"/>
      <c r="M58" s="54"/>
      <c r="N58" s="54"/>
      <c r="O58" s="54"/>
      <c r="P58" s="4"/>
      <c r="Q58" s="4"/>
      <c r="U58" s="5"/>
      <c r="V58" s="5"/>
    </row>
    <row r="59" spans="1:31" x14ac:dyDescent="0.25">
      <c r="A59" s="4"/>
      <c r="B59" s="4"/>
      <c r="C59" s="4"/>
      <c r="D59" s="4"/>
      <c r="E59" s="4"/>
      <c r="F59" s="4"/>
      <c r="G59" s="4"/>
      <c r="H59" s="4"/>
      <c r="I59" s="4"/>
      <c r="J59" s="4"/>
      <c r="K59" s="4"/>
      <c r="L59" s="54"/>
      <c r="M59" s="54"/>
      <c r="N59" s="54"/>
      <c r="O59" s="54"/>
      <c r="P59" s="4"/>
      <c r="Q59" s="4"/>
      <c r="U59" s="5"/>
      <c r="V59" s="5"/>
    </row>
    <row r="60" spans="1:31" x14ac:dyDescent="0.25">
      <c r="A60" s="4"/>
      <c r="B60" s="4"/>
      <c r="C60" s="4"/>
      <c r="D60" s="4"/>
      <c r="E60" s="4"/>
      <c r="F60" s="4"/>
      <c r="G60" s="4"/>
      <c r="H60" s="4"/>
      <c r="I60" s="4"/>
      <c r="J60" s="4"/>
      <c r="K60" s="4"/>
      <c r="L60" s="54"/>
      <c r="M60" s="54"/>
      <c r="N60" s="54"/>
      <c r="O60" s="54"/>
      <c r="P60" s="4"/>
      <c r="Q60" s="4"/>
      <c r="U60" s="5"/>
      <c r="V60" s="5"/>
    </row>
    <row r="61" spans="1:31" x14ac:dyDescent="0.25">
      <c r="A61" s="4"/>
      <c r="B61" s="4"/>
      <c r="C61" s="4"/>
      <c r="D61" s="4"/>
      <c r="E61" s="4"/>
      <c r="F61" s="4"/>
      <c r="G61" s="4"/>
      <c r="H61" s="4"/>
      <c r="I61" s="4"/>
      <c r="J61" s="4"/>
      <c r="K61" s="4"/>
      <c r="L61" s="54"/>
      <c r="M61" s="54"/>
      <c r="N61" s="54"/>
      <c r="O61" s="54"/>
      <c r="P61" s="4"/>
      <c r="Q61" s="4"/>
      <c r="U61" s="5"/>
      <c r="V61" s="5"/>
    </row>
    <row r="62" spans="1:31" x14ac:dyDescent="0.25">
      <c r="A62" s="4"/>
      <c r="B62" s="4"/>
      <c r="C62" s="4"/>
      <c r="D62" s="4"/>
      <c r="E62" s="4"/>
      <c r="F62" s="4"/>
      <c r="G62" s="4"/>
      <c r="H62" s="4"/>
      <c r="I62" s="4"/>
      <c r="J62" s="4"/>
      <c r="K62" s="4"/>
      <c r="L62" s="54"/>
      <c r="M62" s="54"/>
      <c r="N62" s="54"/>
      <c r="O62" s="54"/>
      <c r="P62" s="4"/>
      <c r="Q62" s="4"/>
      <c r="U62" s="5"/>
      <c r="V62" s="5"/>
    </row>
    <row r="63" spans="1:31" x14ac:dyDescent="0.25">
      <c r="A63" s="4"/>
      <c r="B63" s="4"/>
      <c r="C63" s="4"/>
      <c r="D63" s="4"/>
      <c r="E63" s="4"/>
      <c r="F63" s="4"/>
      <c r="G63" s="4"/>
      <c r="H63" s="4"/>
      <c r="I63" s="4"/>
      <c r="J63" s="4"/>
      <c r="K63" s="4"/>
      <c r="L63" s="54"/>
      <c r="M63" s="54"/>
      <c r="N63" s="54"/>
      <c r="O63" s="54"/>
      <c r="P63" s="4"/>
      <c r="Q63" s="4"/>
      <c r="U63" s="5"/>
      <c r="V63" s="5"/>
    </row>
    <row r="64" spans="1:31" x14ac:dyDescent="0.25">
      <c r="A64" s="4"/>
      <c r="B64" s="4"/>
      <c r="C64" s="4"/>
      <c r="D64" s="4"/>
      <c r="E64" s="4"/>
      <c r="F64" s="4"/>
      <c r="G64" s="4"/>
      <c r="H64" s="4"/>
      <c r="I64" s="4"/>
      <c r="J64" s="4"/>
      <c r="K64" s="4"/>
      <c r="L64" s="54"/>
      <c r="M64" s="54"/>
      <c r="N64" s="54"/>
      <c r="O64" s="54"/>
      <c r="P64" s="4"/>
      <c r="Q64" s="4"/>
      <c r="U64" s="5"/>
      <c r="V64" s="5"/>
    </row>
    <row r="65" spans="1:22" x14ac:dyDescent="0.25">
      <c r="A65" s="4"/>
      <c r="B65" s="4"/>
      <c r="C65" s="4"/>
      <c r="D65" s="4"/>
      <c r="E65" s="4"/>
      <c r="F65" s="4"/>
      <c r="G65" s="4"/>
      <c r="H65" s="4"/>
      <c r="I65" s="4"/>
      <c r="J65" s="4"/>
      <c r="K65" s="4"/>
      <c r="L65" s="54"/>
      <c r="M65" s="54"/>
      <c r="N65" s="54"/>
      <c r="O65" s="54"/>
      <c r="P65" s="4"/>
      <c r="Q65" s="4"/>
      <c r="U65" s="5"/>
      <c r="V65" s="5"/>
    </row>
    <row r="66" spans="1:22" x14ac:dyDescent="0.25">
      <c r="A66" s="4"/>
      <c r="B66" s="4"/>
      <c r="C66" s="4"/>
      <c r="D66" s="4"/>
      <c r="E66" s="4"/>
      <c r="F66" s="4"/>
      <c r="G66" s="4"/>
      <c r="H66" s="4"/>
      <c r="I66" s="4"/>
      <c r="J66" s="4"/>
      <c r="K66" s="4"/>
      <c r="L66" s="54"/>
      <c r="M66" s="54"/>
      <c r="N66" s="54"/>
      <c r="O66" s="54"/>
      <c r="P66" s="4"/>
      <c r="Q66" s="4"/>
      <c r="U66" s="5"/>
      <c r="V66" s="5"/>
    </row>
    <row r="67" spans="1:22" x14ac:dyDescent="0.25">
      <c r="A67" s="4"/>
      <c r="B67" s="4"/>
      <c r="C67" s="4"/>
      <c r="D67" s="4"/>
      <c r="E67" s="4"/>
      <c r="F67" s="4"/>
      <c r="G67" s="4"/>
      <c r="H67" s="4"/>
      <c r="I67" s="4"/>
      <c r="J67" s="4"/>
      <c r="K67" s="4"/>
      <c r="L67" s="54"/>
      <c r="M67" s="54"/>
      <c r="N67" s="54"/>
      <c r="O67" s="54"/>
      <c r="P67" s="4"/>
      <c r="Q67" s="4"/>
      <c r="U67" s="5"/>
      <c r="V67" s="5"/>
    </row>
    <row r="68" spans="1:22" x14ac:dyDescent="0.25">
      <c r="A68" s="4"/>
      <c r="B68" s="4"/>
      <c r="C68" s="4"/>
      <c r="D68" s="4"/>
      <c r="E68" s="4"/>
      <c r="F68" s="4"/>
      <c r="G68" s="4"/>
      <c r="H68" s="4"/>
      <c r="I68" s="4"/>
      <c r="J68" s="4"/>
      <c r="K68" s="4"/>
      <c r="L68" s="54"/>
      <c r="M68" s="54"/>
      <c r="N68" s="54"/>
      <c r="O68" s="54"/>
      <c r="P68" s="4"/>
      <c r="Q68" s="4"/>
      <c r="U68" s="5"/>
      <c r="V68" s="5"/>
    </row>
    <row r="69" spans="1:22" x14ac:dyDescent="0.25">
      <c r="A69" s="4"/>
      <c r="B69" s="4"/>
      <c r="C69" s="4"/>
      <c r="D69" s="4"/>
      <c r="E69" s="4"/>
      <c r="F69" s="4"/>
      <c r="G69" s="4"/>
      <c r="H69" s="4"/>
      <c r="I69" s="4"/>
      <c r="J69" s="4"/>
      <c r="K69" s="4"/>
      <c r="L69" s="54"/>
      <c r="M69" s="54"/>
      <c r="N69" s="54"/>
      <c r="O69" s="54"/>
      <c r="P69" s="4"/>
      <c r="Q69" s="4"/>
      <c r="U69" s="5"/>
      <c r="V69" s="5"/>
    </row>
    <row r="70" spans="1:22" x14ac:dyDescent="0.25">
      <c r="A70" s="4"/>
      <c r="B70" s="4"/>
      <c r="C70" s="4"/>
      <c r="D70" s="4"/>
      <c r="E70" s="4"/>
      <c r="F70" s="4"/>
      <c r="G70" s="4"/>
      <c r="H70" s="4"/>
      <c r="I70" s="4"/>
      <c r="J70" s="4"/>
      <c r="K70" s="4"/>
      <c r="L70" s="54"/>
      <c r="M70" s="54"/>
      <c r="N70" s="54"/>
      <c r="O70" s="54"/>
      <c r="P70" s="4"/>
      <c r="Q70" s="4"/>
      <c r="U70" s="5"/>
      <c r="V70" s="5"/>
    </row>
    <row r="71" spans="1:22" x14ac:dyDescent="0.25">
      <c r="A71" s="4"/>
      <c r="B71" s="4"/>
      <c r="C71" s="4"/>
      <c r="D71" s="4"/>
      <c r="E71" s="4"/>
      <c r="F71" s="4"/>
      <c r="G71" s="4"/>
      <c r="H71" s="4"/>
      <c r="I71" s="4"/>
      <c r="J71" s="4"/>
      <c r="K71" s="4"/>
      <c r="L71" s="54"/>
      <c r="M71" s="54"/>
      <c r="N71" s="54"/>
      <c r="O71" s="54"/>
      <c r="P71" s="4"/>
      <c r="Q71" s="4"/>
      <c r="U71" s="5"/>
      <c r="V71" s="5"/>
    </row>
    <row r="72" spans="1:22" x14ac:dyDescent="0.25">
      <c r="A72" s="4"/>
      <c r="B72" s="4"/>
      <c r="C72" s="4"/>
      <c r="D72" s="4"/>
      <c r="E72" s="4"/>
      <c r="F72" s="4"/>
      <c r="G72" s="4"/>
      <c r="H72" s="4"/>
      <c r="I72" s="4"/>
      <c r="J72" s="4"/>
      <c r="K72" s="4"/>
      <c r="L72" s="54"/>
      <c r="M72" s="54"/>
      <c r="N72" s="54"/>
      <c r="O72" s="54"/>
      <c r="P72" s="4"/>
      <c r="Q72" s="4"/>
      <c r="U72" s="5"/>
      <c r="V72" s="5"/>
    </row>
    <row r="73" spans="1:22" x14ac:dyDescent="0.25">
      <c r="A73" s="4"/>
      <c r="B73" s="4"/>
      <c r="C73" s="4"/>
      <c r="D73" s="4"/>
      <c r="E73" s="4"/>
      <c r="F73" s="4"/>
      <c r="G73" s="4"/>
      <c r="H73" s="4"/>
      <c r="I73" s="4"/>
      <c r="J73" s="4"/>
      <c r="K73" s="4"/>
      <c r="L73" s="54"/>
      <c r="M73" s="54"/>
      <c r="N73" s="54"/>
      <c r="O73" s="54"/>
      <c r="P73" s="4"/>
      <c r="Q73" s="4"/>
      <c r="U73" s="5"/>
      <c r="V73" s="5"/>
    </row>
    <row r="74" spans="1:22" x14ac:dyDescent="0.25">
      <c r="A74" s="4"/>
      <c r="B74" s="4"/>
      <c r="C74" s="4"/>
      <c r="D74" s="4"/>
      <c r="E74" s="4"/>
      <c r="F74" s="4"/>
      <c r="G74" s="4"/>
      <c r="H74" s="4"/>
      <c r="I74" s="4"/>
      <c r="J74" s="4"/>
      <c r="K74" s="4"/>
      <c r="L74" s="54"/>
      <c r="M74" s="54"/>
      <c r="N74" s="54"/>
      <c r="O74" s="54"/>
      <c r="P74" s="4"/>
      <c r="Q74" s="4"/>
      <c r="U74" s="5"/>
      <c r="V74" s="5"/>
    </row>
    <row r="75" spans="1:22" x14ac:dyDescent="0.25">
      <c r="A75" s="4"/>
      <c r="B75" s="4"/>
      <c r="C75" s="4"/>
      <c r="D75" s="4"/>
      <c r="E75" s="4"/>
      <c r="F75" s="4"/>
      <c r="G75" s="4"/>
      <c r="H75" s="4"/>
      <c r="I75" s="4"/>
      <c r="J75" s="4"/>
      <c r="K75" s="4"/>
      <c r="L75" s="54"/>
      <c r="M75" s="54"/>
      <c r="N75" s="54"/>
      <c r="O75" s="54"/>
      <c r="P75" s="4"/>
      <c r="Q75" s="4"/>
      <c r="U75" s="5"/>
      <c r="V75" s="5"/>
    </row>
    <row r="76" spans="1:22" x14ac:dyDescent="0.25">
      <c r="A76" s="4"/>
      <c r="B76" s="4"/>
      <c r="C76" s="4"/>
      <c r="D76" s="4"/>
      <c r="E76" s="4"/>
      <c r="F76" s="4"/>
      <c r="G76" s="4"/>
      <c r="H76" s="4"/>
      <c r="I76" s="4"/>
      <c r="J76" s="4"/>
      <c r="K76" s="4"/>
      <c r="L76" s="54"/>
      <c r="M76" s="54"/>
      <c r="N76" s="54"/>
      <c r="O76" s="54"/>
      <c r="P76" s="4"/>
      <c r="Q76" s="4"/>
      <c r="U76" s="5"/>
      <c r="V76" s="5"/>
    </row>
    <row r="77" spans="1:22" x14ac:dyDescent="0.25">
      <c r="A77" s="4"/>
      <c r="B77" s="4"/>
      <c r="C77" s="4"/>
      <c r="D77" s="4"/>
      <c r="E77" s="4"/>
      <c r="F77" s="4"/>
      <c r="G77" s="4"/>
      <c r="H77" s="4"/>
      <c r="I77" s="4"/>
      <c r="J77" s="4"/>
      <c r="K77" s="4"/>
      <c r="L77" s="54"/>
      <c r="M77" s="54"/>
      <c r="N77" s="54"/>
      <c r="O77" s="54"/>
      <c r="P77" s="4"/>
      <c r="Q77" s="4"/>
      <c r="U77" s="5"/>
      <c r="V77" s="5"/>
    </row>
    <row r="78" spans="1:22" x14ac:dyDescent="0.25">
      <c r="A78" s="4"/>
      <c r="B78" s="4"/>
      <c r="C78" s="4"/>
      <c r="D78" s="4"/>
      <c r="E78" s="4"/>
      <c r="F78" s="4"/>
      <c r="G78" s="4"/>
      <c r="H78" s="4"/>
      <c r="I78" s="4"/>
      <c r="J78" s="4"/>
      <c r="K78" s="4"/>
      <c r="L78" s="54"/>
      <c r="M78" s="54"/>
      <c r="N78" s="54"/>
      <c r="O78" s="54"/>
      <c r="P78" s="4"/>
      <c r="Q78" s="4"/>
      <c r="U78" s="5"/>
      <c r="V78" s="5"/>
    </row>
    <row r="79" spans="1:22" x14ac:dyDescent="0.25">
      <c r="A79" s="4"/>
      <c r="B79" s="4"/>
      <c r="C79" s="4"/>
      <c r="D79" s="4"/>
      <c r="E79" s="4"/>
      <c r="F79" s="4"/>
      <c r="G79" s="4"/>
      <c r="H79" s="4"/>
      <c r="I79" s="4"/>
      <c r="J79" s="4"/>
      <c r="K79" s="4"/>
      <c r="L79" s="54"/>
      <c r="M79" s="54"/>
      <c r="N79" s="54"/>
      <c r="O79" s="54"/>
      <c r="P79" s="4"/>
      <c r="Q79" s="4"/>
      <c r="U79" s="5"/>
      <c r="V79" s="5"/>
    </row>
    <row r="80" spans="1:22" x14ac:dyDescent="0.25">
      <c r="A80" s="4"/>
      <c r="B80" s="4"/>
      <c r="C80" s="4"/>
      <c r="D80" s="4"/>
      <c r="E80" s="4"/>
      <c r="F80" s="4"/>
      <c r="G80" s="4"/>
      <c r="H80" s="4"/>
      <c r="I80" s="4"/>
      <c r="J80" s="4"/>
      <c r="K80" s="4"/>
      <c r="L80" s="54"/>
      <c r="M80" s="54"/>
      <c r="N80" s="54"/>
      <c r="O80" s="54"/>
      <c r="P80" s="4"/>
      <c r="Q80" s="4"/>
      <c r="U80" s="5"/>
      <c r="V80" s="5"/>
    </row>
    <row r="81" spans="1:22" x14ac:dyDescent="0.25">
      <c r="A81" s="4"/>
      <c r="B81" s="4"/>
      <c r="C81" s="4"/>
      <c r="D81" s="4"/>
      <c r="E81" s="4"/>
      <c r="F81" s="4"/>
      <c r="G81" s="4"/>
      <c r="H81" s="4"/>
      <c r="I81" s="4"/>
      <c r="J81" s="4"/>
      <c r="K81" s="4"/>
      <c r="L81" s="54"/>
      <c r="M81" s="54"/>
      <c r="N81" s="54"/>
      <c r="O81" s="54"/>
      <c r="P81" s="4"/>
      <c r="Q81" s="4"/>
      <c r="U81" s="5"/>
      <c r="V81" s="5"/>
    </row>
    <row r="82" spans="1:22" x14ac:dyDescent="0.25">
      <c r="A82" s="4"/>
      <c r="B82" s="4"/>
      <c r="C82" s="4"/>
      <c r="D82" s="4"/>
      <c r="E82" s="4"/>
      <c r="F82" s="4"/>
      <c r="G82" s="4"/>
      <c r="H82" s="4"/>
      <c r="I82" s="4"/>
      <c r="J82" s="4"/>
      <c r="K82" s="4"/>
      <c r="L82" s="54"/>
      <c r="M82" s="54"/>
      <c r="N82" s="54"/>
      <c r="O82" s="54"/>
      <c r="P82" s="4"/>
      <c r="Q82" s="4"/>
      <c r="U82" s="5"/>
      <c r="V82" s="5"/>
    </row>
    <row r="83" spans="1:22" x14ac:dyDescent="0.25">
      <c r="A83" s="4"/>
      <c r="B83" s="4"/>
      <c r="C83" s="4"/>
      <c r="D83" s="4"/>
      <c r="E83" s="4"/>
      <c r="F83" s="4"/>
      <c r="G83" s="4"/>
      <c r="H83" s="4"/>
      <c r="I83" s="4"/>
      <c r="J83" s="4"/>
      <c r="K83" s="4"/>
      <c r="L83" s="54"/>
      <c r="M83" s="54"/>
      <c r="N83" s="54"/>
      <c r="O83" s="54"/>
      <c r="P83" s="4"/>
      <c r="Q83" s="4"/>
      <c r="U83" s="5"/>
      <c r="V83" s="5"/>
    </row>
    <row r="84" spans="1:22" x14ac:dyDescent="0.25">
      <c r="A84" s="4"/>
      <c r="B84" s="4"/>
      <c r="C84" s="4"/>
      <c r="D84" s="4"/>
      <c r="E84" s="4"/>
      <c r="F84" s="4"/>
      <c r="G84" s="4"/>
      <c r="H84" s="4"/>
      <c r="I84" s="4"/>
      <c r="J84" s="4"/>
      <c r="K84" s="4"/>
      <c r="L84" s="54"/>
      <c r="M84" s="54"/>
      <c r="N84" s="54"/>
      <c r="O84" s="54"/>
      <c r="P84" s="4"/>
      <c r="Q84" s="4"/>
      <c r="U84" s="5"/>
      <c r="V84" s="5"/>
    </row>
    <row r="85" spans="1:22" x14ac:dyDescent="0.25">
      <c r="A85" s="4"/>
      <c r="B85" s="4"/>
      <c r="C85" s="4"/>
      <c r="D85" s="4"/>
      <c r="E85" s="4"/>
      <c r="F85" s="4"/>
      <c r="G85" s="4"/>
      <c r="H85" s="4"/>
      <c r="I85" s="4"/>
      <c r="J85" s="4"/>
      <c r="K85" s="4"/>
      <c r="L85" s="54"/>
      <c r="M85" s="54"/>
      <c r="N85" s="54"/>
      <c r="O85" s="54"/>
      <c r="P85" s="4"/>
      <c r="Q85" s="4"/>
      <c r="U85" s="5"/>
      <c r="V85" s="5"/>
    </row>
    <row r="86" spans="1:22" x14ac:dyDescent="0.25">
      <c r="A86" s="4"/>
      <c r="B86" s="4"/>
      <c r="C86" s="4"/>
      <c r="D86" s="4"/>
      <c r="E86" s="4"/>
      <c r="F86" s="4"/>
      <c r="G86" s="4"/>
      <c r="H86" s="4"/>
      <c r="I86" s="4"/>
      <c r="J86" s="4"/>
      <c r="K86" s="4"/>
      <c r="L86" s="54"/>
      <c r="M86" s="54"/>
      <c r="N86" s="54"/>
      <c r="O86" s="54"/>
      <c r="P86" s="4"/>
      <c r="Q86" s="4"/>
      <c r="U86" s="5"/>
      <c r="V86" s="5"/>
    </row>
    <row r="87" spans="1:22" x14ac:dyDescent="0.25">
      <c r="A87" s="4"/>
      <c r="B87" s="4"/>
      <c r="C87" s="4"/>
      <c r="D87" s="4"/>
      <c r="E87" s="4"/>
      <c r="F87" s="4"/>
      <c r="G87" s="4"/>
      <c r="H87" s="4"/>
      <c r="I87" s="4"/>
      <c r="J87" s="4"/>
      <c r="K87" s="4"/>
      <c r="L87" s="54"/>
      <c r="M87" s="54"/>
      <c r="N87" s="54"/>
      <c r="O87" s="54"/>
      <c r="P87" s="4"/>
      <c r="Q87" s="4"/>
      <c r="U87" s="5"/>
      <c r="V87" s="5"/>
    </row>
    <row r="88" spans="1:22" x14ac:dyDescent="0.25">
      <c r="A88" s="4"/>
      <c r="B88" s="4"/>
      <c r="C88" s="4"/>
      <c r="D88" s="4"/>
      <c r="E88" s="4"/>
      <c r="F88" s="4"/>
      <c r="G88" s="4"/>
      <c r="H88" s="4"/>
      <c r="I88" s="4"/>
      <c r="J88" s="4"/>
      <c r="K88" s="4"/>
      <c r="L88" s="54"/>
      <c r="M88" s="54"/>
      <c r="N88" s="54"/>
      <c r="O88" s="54"/>
      <c r="P88" s="4"/>
      <c r="Q88" s="4"/>
      <c r="U88" s="5"/>
      <c r="V88" s="5"/>
    </row>
    <row r="89" spans="1:22" x14ac:dyDescent="0.25">
      <c r="A89" s="4"/>
      <c r="B89" s="4"/>
      <c r="C89" s="4"/>
      <c r="D89" s="4"/>
      <c r="E89" s="4"/>
      <c r="F89" s="4"/>
      <c r="G89" s="4"/>
      <c r="H89" s="4"/>
      <c r="I89" s="4"/>
      <c r="J89" s="4"/>
      <c r="K89" s="4"/>
      <c r="L89" s="54"/>
      <c r="M89" s="54"/>
      <c r="N89" s="54"/>
      <c r="O89" s="54"/>
      <c r="P89" s="4"/>
      <c r="Q89" s="4"/>
      <c r="U89" s="5"/>
      <c r="V89" s="5"/>
    </row>
    <row r="90" spans="1:22" x14ac:dyDescent="0.25">
      <c r="A90" s="4"/>
      <c r="B90" s="4"/>
      <c r="C90" s="4"/>
      <c r="D90" s="4"/>
      <c r="E90" s="4"/>
      <c r="F90" s="4"/>
      <c r="G90" s="4"/>
      <c r="H90" s="4"/>
      <c r="I90" s="4"/>
      <c r="J90" s="4"/>
      <c r="K90" s="4"/>
      <c r="L90" s="54"/>
      <c r="M90" s="54"/>
      <c r="N90" s="54"/>
      <c r="O90" s="54"/>
      <c r="P90" s="4"/>
      <c r="Q90" s="4"/>
      <c r="U90" s="5"/>
      <c r="V90" s="5"/>
    </row>
    <row r="91" spans="1:22" x14ac:dyDescent="0.25">
      <c r="A91" s="4"/>
      <c r="B91" s="4"/>
      <c r="C91" s="4"/>
      <c r="D91" s="4"/>
      <c r="E91" s="4"/>
      <c r="F91" s="4"/>
      <c r="G91" s="4"/>
      <c r="H91" s="4"/>
      <c r="I91" s="4"/>
      <c r="J91" s="4"/>
      <c r="K91" s="4"/>
      <c r="L91" s="54"/>
      <c r="M91" s="54"/>
      <c r="N91" s="54"/>
      <c r="O91" s="54"/>
      <c r="P91" s="4"/>
      <c r="Q91" s="4"/>
      <c r="U91" s="5"/>
      <c r="V91" s="5"/>
    </row>
    <row r="92" spans="1:22" x14ac:dyDescent="0.25">
      <c r="A92" s="4"/>
      <c r="B92" s="4"/>
      <c r="C92" s="4"/>
      <c r="D92" s="4"/>
      <c r="E92" s="4"/>
      <c r="F92" s="4"/>
      <c r="G92" s="4"/>
      <c r="H92" s="4"/>
      <c r="I92" s="4"/>
      <c r="J92" s="4"/>
      <c r="K92" s="4"/>
      <c r="L92" s="54"/>
      <c r="M92" s="54"/>
      <c r="N92" s="54"/>
      <c r="O92" s="54"/>
      <c r="P92" s="4"/>
      <c r="Q92" s="4"/>
      <c r="U92" s="5"/>
      <c r="V92" s="5"/>
    </row>
    <row r="93" spans="1:22" x14ac:dyDescent="0.25">
      <c r="A93" s="4"/>
      <c r="B93" s="4"/>
      <c r="C93" s="4"/>
      <c r="D93" s="4"/>
      <c r="E93" s="4"/>
      <c r="F93" s="4"/>
      <c r="G93" s="4"/>
      <c r="H93" s="4"/>
      <c r="I93" s="4"/>
      <c r="J93" s="4"/>
      <c r="K93" s="4"/>
      <c r="L93" s="54"/>
      <c r="M93" s="54"/>
      <c r="N93" s="54"/>
      <c r="O93" s="54"/>
      <c r="P93" s="4"/>
      <c r="Q93" s="4"/>
      <c r="U93" s="5"/>
      <c r="V93" s="5"/>
    </row>
    <row r="94" spans="1:22" x14ac:dyDescent="0.25">
      <c r="A94" s="4"/>
      <c r="B94" s="4"/>
      <c r="C94" s="4"/>
      <c r="D94" s="4"/>
      <c r="E94" s="4"/>
      <c r="F94" s="4"/>
      <c r="G94" s="4"/>
      <c r="H94" s="4"/>
      <c r="I94" s="4"/>
      <c r="J94" s="4"/>
      <c r="K94" s="4"/>
      <c r="L94" s="54"/>
      <c r="M94" s="54"/>
      <c r="N94" s="54"/>
      <c r="O94" s="54"/>
      <c r="P94" s="4"/>
      <c r="Q94" s="4"/>
      <c r="U94" s="5"/>
      <c r="V94" s="5"/>
    </row>
    <row r="95" spans="1:22" x14ac:dyDescent="0.25">
      <c r="A95" s="4"/>
      <c r="B95" s="4"/>
      <c r="C95" s="4"/>
      <c r="D95" s="4"/>
      <c r="E95" s="4"/>
      <c r="F95" s="4"/>
      <c r="G95" s="4"/>
      <c r="H95" s="4"/>
      <c r="I95" s="4"/>
      <c r="J95" s="4"/>
      <c r="K95" s="4"/>
      <c r="L95" s="54"/>
      <c r="M95" s="54"/>
      <c r="N95" s="54"/>
      <c r="O95" s="54"/>
      <c r="P95" s="4"/>
      <c r="Q95" s="4"/>
      <c r="U95" s="5"/>
      <c r="V95" s="5"/>
    </row>
    <row r="96" spans="1:22" x14ac:dyDescent="0.25">
      <c r="A96" s="4"/>
      <c r="B96" s="4"/>
      <c r="C96" s="4"/>
      <c r="D96" s="4"/>
      <c r="E96" s="4"/>
      <c r="F96" s="4"/>
      <c r="G96" s="4"/>
      <c r="H96" s="4"/>
      <c r="I96" s="4"/>
      <c r="J96" s="4"/>
      <c r="K96" s="4"/>
      <c r="L96" s="54"/>
      <c r="M96" s="54"/>
      <c r="N96" s="54"/>
      <c r="O96" s="54"/>
      <c r="P96" s="4"/>
      <c r="Q96" s="4"/>
      <c r="U96" s="5"/>
      <c r="V96" s="5"/>
    </row>
    <row r="97" spans="1:22" x14ac:dyDescent="0.25">
      <c r="A97" s="4"/>
      <c r="B97" s="4"/>
      <c r="C97" s="4"/>
      <c r="D97" s="4"/>
      <c r="E97" s="4"/>
      <c r="F97" s="4"/>
      <c r="G97" s="4"/>
      <c r="H97" s="4"/>
      <c r="I97" s="4"/>
      <c r="J97" s="4"/>
      <c r="K97" s="4"/>
      <c r="L97" s="54"/>
      <c r="M97" s="54"/>
      <c r="N97" s="54"/>
      <c r="O97" s="54"/>
      <c r="P97" s="4"/>
      <c r="Q97" s="4"/>
      <c r="U97" s="5"/>
      <c r="V97" s="5"/>
    </row>
    <row r="98" spans="1:22" x14ac:dyDescent="0.25">
      <c r="A98" s="4"/>
      <c r="L98" s="56"/>
      <c r="M98" s="56"/>
      <c r="N98" s="56"/>
      <c r="O98" s="56"/>
      <c r="Q98" s="4"/>
      <c r="U98" s="5"/>
      <c r="V98" s="5"/>
    </row>
    <row r="99" spans="1:22" x14ac:dyDescent="0.25">
      <c r="A99" s="4"/>
      <c r="L99" s="56"/>
      <c r="M99" s="56"/>
      <c r="N99" s="56"/>
      <c r="O99" s="56"/>
      <c r="Q99" s="4"/>
      <c r="U99" s="5"/>
      <c r="V99" s="5"/>
    </row>
    <row r="100" spans="1:22" x14ac:dyDescent="0.25">
      <c r="A100" s="4"/>
      <c r="L100" s="56"/>
      <c r="M100" s="56" t="s">
        <v>153</v>
      </c>
      <c r="N100" s="56"/>
      <c r="O100" s="56"/>
      <c r="Q100" s="4"/>
      <c r="U100" s="5"/>
      <c r="V100" s="5"/>
    </row>
    <row r="101" spans="1:22" ht="15.75" thickBot="1" x14ac:dyDescent="0.3">
      <c r="A101" s="4"/>
      <c r="B101" s="4"/>
      <c r="C101" s="4"/>
      <c r="D101" s="4"/>
      <c r="E101" s="4"/>
      <c r="F101" s="4"/>
      <c r="G101" s="4"/>
      <c r="H101" s="4"/>
      <c r="I101" s="4"/>
      <c r="J101" s="4"/>
      <c r="K101" s="4"/>
      <c r="L101" s="54"/>
      <c r="M101" s="54"/>
      <c r="N101" s="54"/>
      <c r="O101" s="54"/>
      <c r="P101" s="4"/>
      <c r="Q101" s="4"/>
      <c r="U101" s="5"/>
      <c r="V101" s="5"/>
    </row>
    <row r="102" spans="1:22" x14ac:dyDescent="0.25">
      <c r="A102" s="4"/>
      <c r="B102" s="46" t="s">
        <v>76</v>
      </c>
      <c r="C102" s="47"/>
      <c r="D102" s="47"/>
      <c r="E102" s="47"/>
      <c r="F102" s="47"/>
      <c r="G102" s="47"/>
      <c r="H102" s="47"/>
      <c r="I102" s="47"/>
      <c r="J102" s="63"/>
      <c r="K102" s="63"/>
      <c r="L102" s="63"/>
      <c r="M102" s="63"/>
      <c r="N102" s="63"/>
      <c r="O102" s="63"/>
      <c r="P102" s="64"/>
      <c r="Q102" s="4"/>
      <c r="U102" s="5"/>
      <c r="V102" s="5"/>
    </row>
    <row r="103" spans="1:22" x14ac:dyDescent="0.25">
      <c r="A103" s="4"/>
      <c r="B103" s="48" t="str">
        <f>Calc_sheet!G49</f>
        <v>Hallmark</v>
      </c>
      <c r="C103" s="33" t="s">
        <v>138</v>
      </c>
      <c r="D103" s="34"/>
      <c r="E103" s="34"/>
      <c r="F103" s="34"/>
      <c r="G103" s="34"/>
      <c r="H103" s="34"/>
      <c r="I103" s="34"/>
      <c r="J103" s="34"/>
      <c r="K103" s="34"/>
      <c r="L103" s="34"/>
      <c r="M103" s="34"/>
      <c r="N103" s="34"/>
      <c r="O103" s="34"/>
      <c r="P103" s="49"/>
      <c r="Q103" s="4"/>
      <c r="U103" s="5"/>
      <c r="V103" s="5"/>
    </row>
    <row r="104" spans="1:22" x14ac:dyDescent="0.25">
      <c r="A104" s="4"/>
      <c r="B104" s="48" t="str">
        <f>Calc_sheet!G50</f>
        <v>Generali Vision</v>
      </c>
      <c r="C104" s="33" t="s">
        <v>137</v>
      </c>
      <c r="D104" s="34"/>
      <c r="E104" s="34"/>
      <c r="F104" s="34"/>
      <c r="G104" s="34"/>
      <c r="H104" s="34"/>
      <c r="I104" s="34"/>
      <c r="J104" s="34"/>
      <c r="K104" s="34"/>
      <c r="L104" s="34"/>
      <c r="M104" s="34"/>
      <c r="N104" s="34"/>
      <c r="O104" s="34"/>
      <c r="P104" s="49"/>
      <c r="Q104" s="4"/>
      <c r="U104" s="5"/>
      <c r="V104" s="5"/>
    </row>
    <row r="105" spans="1:22" x14ac:dyDescent="0.25">
      <c r="A105" s="4"/>
      <c r="B105" s="48" t="str">
        <f>Calc_sheet!G51</f>
        <v>OMI (Royal Skandia)</v>
      </c>
      <c r="C105" s="33" t="s">
        <v>140</v>
      </c>
      <c r="D105" s="34"/>
      <c r="E105" s="34"/>
      <c r="F105" s="34"/>
      <c r="G105" s="34"/>
      <c r="H105" s="34"/>
      <c r="I105" s="34"/>
      <c r="J105" s="34"/>
      <c r="K105" s="34"/>
      <c r="L105" s="34"/>
      <c r="M105" s="34"/>
      <c r="N105" s="34"/>
      <c r="O105" s="34"/>
      <c r="P105" s="49"/>
      <c r="Q105" s="4"/>
      <c r="U105" s="5"/>
      <c r="V105" s="5"/>
    </row>
    <row r="106" spans="1:22" x14ac:dyDescent="0.25">
      <c r="A106" s="4"/>
      <c r="B106" s="48" t="str">
        <f>Calc_sheet!G53</f>
        <v>Hansard</v>
      </c>
      <c r="C106" s="33" t="s">
        <v>139</v>
      </c>
      <c r="D106" s="34"/>
      <c r="E106" s="34"/>
      <c r="F106" s="34"/>
      <c r="G106" s="34"/>
      <c r="H106" s="34"/>
      <c r="I106" s="34"/>
      <c r="J106" s="34"/>
      <c r="K106" s="34"/>
      <c r="L106" s="34"/>
      <c r="M106" s="34"/>
      <c r="N106" s="34"/>
      <c r="O106" s="34"/>
      <c r="P106" s="49"/>
      <c r="Q106" s="4"/>
      <c r="U106" s="5"/>
      <c r="V106" s="5"/>
    </row>
    <row r="107" spans="1:22" x14ac:dyDescent="0.25">
      <c r="A107" s="4"/>
      <c r="B107" s="48" t="str">
        <f>Calc_sheet!G54</f>
        <v>Ascentric</v>
      </c>
      <c r="C107" s="33" t="s">
        <v>143</v>
      </c>
      <c r="D107" s="34"/>
      <c r="E107" s="34"/>
      <c r="F107" s="34"/>
      <c r="G107" s="34"/>
      <c r="H107" s="34"/>
      <c r="I107" s="34"/>
      <c r="J107" s="34"/>
      <c r="K107" s="34"/>
      <c r="L107" s="34"/>
      <c r="M107" s="34"/>
      <c r="N107" s="34"/>
      <c r="O107" s="34"/>
      <c r="P107" s="49"/>
      <c r="Q107" s="4"/>
      <c r="U107" s="5"/>
      <c r="V107" s="5"/>
    </row>
    <row r="108" spans="1:22" x14ac:dyDescent="0.25">
      <c r="A108" s="4"/>
      <c r="B108" s="48" t="str">
        <f>Calc_sheet!G55</f>
        <v>Royal London</v>
      </c>
      <c r="C108" s="33" t="s">
        <v>141</v>
      </c>
      <c r="D108" s="34"/>
      <c r="E108" s="34"/>
      <c r="F108" s="34"/>
      <c r="G108" s="34"/>
      <c r="H108" s="34"/>
      <c r="I108" s="34"/>
      <c r="J108" s="34"/>
      <c r="K108" s="34"/>
      <c r="L108" s="34"/>
      <c r="M108" s="34"/>
      <c r="N108" s="34"/>
      <c r="O108" s="34"/>
      <c r="P108" s="49"/>
      <c r="Q108" s="4"/>
      <c r="U108" s="5"/>
      <c r="V108" s="5"/>
    </row>
    <row r="109" spans="1:22" ht="15.75" thickBot="1" x14ac:dyDescent="0.3">
      <c r="A109" s="4"/>
      <c r="B109" s="50" t="str">
        <f>Calc_sheet!G56</f>
        <v>Friends Provident</v>
      </c>
      <c r="C109" s="51" t="s">
        <v>142</v>
      </c>
      <c r="D109" s="52"/>
      <c r="E109" s="52"/>
      <c r="F109" s="52"/>
      <c r="G109" s="52"/>
      <c r="H109" s="52"/>
      <c r="I109" s="52"/>
      <c r="J109" s="52"/>
      <c r="K109" s="52"/>
      <c r="L109" s="52"/>
      <c r="M109" s="52"/>
      <c r="N109" s="52"/>
      <c r="O109" s="52"/>
      <c r="P109" s="53"/>
      <c r="Q109" s="4"/>
      <c r="U109" s="5"/>
      <c r="V109" s="5"/>
    </row>
    <row r="110" spans="1:22" x14ac:dyDescent="0.25">
      <c r="A110" s="4"/>
      <c r="B110" s="4"/>
      <c r="C110" s="4"/>
      <c r="D110" s="4"/>
      <c r="E110" s="4"/>
      <c r="F110" s="4"/>
      <c r="G110" s="4"/>
      <c r="H110" s="4"/>
      <c r="I110" s="4"/>
      <c r="J110" s="4"/>
      <c r="K110" s="4"/>
      <c r="L110" s="54"/>
      <c r="M110" s="54"/>
      <c r="N110" s="54"/>
      <c r="O110" s="54"/>
      <c r="P110" s="4"/>
      <c r="Q110" s="4"/>
      <c r="U110" s="5"/>
      <c r="V110" s="5"/>
    </row>
    <row r="111" spans="1:22" x14ac:dyDescent="0.25">
      <c r="A111" s="4"/>
      <c r="B111" s="31" t="s">
        <v>77</v>
      </c>
      <c r="C111" s="32"/>
      <c r="D111" s="32"/>
      <c r="E111" s="32"/>
      <c r="F111" s="32"/>
      <c r="G111" s="32"/>
      <c r="H111" s="32"/>
      <c r="I111" s="32"/>
      <c r="J111" s="32"/>
      <c r="K111" s="65"/>
      <c r="L111" s="65"/>
      <c r="M111" s="65"/>
      <c r="N111" s="65"/>
      <c r="O111" s="65"/>
      <c r="P111" s="66"/>
      <c r="Q111" s="4"/>
      <c r="U111" s="5"/>
      <c r="V111" s="5"/>
    </row>
    <row r="112" spans="1:22" x14ac:dyDescent="0.25">
      <c r="A112" s="4"/>
      <c r="B112" s="35" t="s">
        <v>146</v>
      </c>
      <c r="C112" s="36"/>
      <c r="D112" s="36"/>
      <c r="E112" s="36"/>
      <c r="F112" s="36"/>
      <c r="G112" s="36"/>
      <c r="H112" s="36"/>
      <c r="I112" s="36"/>
      <c r="J112" s="36"/>
      <c r="K112" s="36"/>
      <c r="L112" s="36"/>
      <c r="M112" s="36"/>
      <c r="N112" s="36"/>
      <c r="O112" s="36"/>
      <c r="P112" s="37"/>
      <c r="Q112" s="4"/>
      <c r="U112" s="5"/>
      <c r="V112" s="5"/>
    </row>
    <row r="113" spans="1:22" x14ac:dyDescent="0.25">
      <c r="A113" s="4"/>
      <c r="B113" s="38" t="s">
        <v>147</v>
      </c>
      <c r="C113" s="39"/>
      <c r="D113" s="39"/>
      <c r="E113" s="39"/>
      <c r="F113" s="39"/>
      <c r="G113" s="39"/>
      <c r="H113" s="39"/>
      <c r="I113" s="39"/>
      <c r="J113" s="39"/>
      <c r="K113" s="39"/>
      <c r="L113" s="39"/>
      <c r="M113" s="39"/>
      <c r="N113" s="39"/>
      <c r="O113" s="39"/>
      <c r="P113" s="40"/>
      <c r="Q113" s="4"/>
      <c r="U113" s="5"/>
      <c r="V113" s="5"/>
    </row>
    <row r="114" spans="1:22" x14ac:dyDescent="0.25">
      <c r="A114" s="4"/>
      <c r="B114" s="38" t="s">
        <v>104</v>
      </c>
      <c r="C114" s="39"/>
      <c r="D114" s="39"/>
      <c r="E114" s="39"/>
      <c r="F114" s="39"/>
      <c r="G114" s="39"/>
      <c r="H114" s="39"/>
      <c r="I114" s="39"/>
      <c r="J114" s="39"/>
      <c r="K114" s="39"/>
      <c r="L114" s="39"/>
      <c r="M114" s="39"/>
      <c r="N114" s="39"/>
      <c r="O114" s="39"/>
      <c r="P114" s="40"/>
      <c r="Q114" s="4"/>
      <c r="U114" s="5"/>
      <c r="V114" s="5"/>
    </row>
    <row r="115" spans="1:22" x14ac:dyDescent="0.25">
      <c r="A115" s="4"/>
      <c r="B115" s="38" t="s">
        <v>148</v>
      </c>
      <c r="C115" s="39"/>
      <c r="D115" s="39"/>
      <c r="E115" s="39"/>
      <c r="F115" s="39"/>
      <c r="G115" s="39"/>
      <c r="H115" s="39"/>
      <c r="I115" s="39"/>
      <c r="J115" s="39"/>
      <c r="K115" s="39"/>
      <c r="L115" s="39"/>
      <c r="M115" s="39"/>
      <c r="N115" s="39"/>
      <c r="O115" s="39"/>
      <c r="P115" s="40"/>
      <c r="Q115" s="4"/>
      <c r="U115" s="5"/>
      <c r="V115" s="5"/>
    </row>
    <row r="116" spans="1:22" x14ac:dyDescent="0.25">
      <c r="A116" s="4"/>
      <c r="B116" s="38" t="s">
        <v>78</v>
      </c>
      <c r="C116" s="39"/>
      <c r="D116" s="39"/>
      <c r="E116" s="39"/>
      <c r="F116" s="39"/>
      <c r="G116" s="39"/>
      <c r="H116" s="39"/>
      <c r="I116" s="39"/>
      <c r="J116" s="39"/>
      <c r="K116" s="39"/>
      <c r="L116" s="39"/>
      <c r="M116" s="39"/>
      <c r="N116" s="39"/>
      <c r="O116" s="39"/>
      <c r="P116" s="40"/>
      <c r="Q116" s="4"/>
      <c r="U116" s="5"/>
      <c r="V116" s="5"/>
    </row>
    <row r="117" spans="1:22" x14ac:dyDescent="0.25">
      <c r="A117" s="4"/>
      <c r="B117" s="38" t="s">
        <v>79</v>
      </c>
      <c r="C117" s="39"/>
      <c r="D117" s="39"/>
      <c r="E117" s="39"/>
      <c r="F117" s="39"/>
      <c r="G117" s="39"/>
      <c r="H117" s="39"/>
      <c r="I117" s="39"/>
      <c r="J117" s="39"/>
      <c r="K117" s="39"/>
      <c r="L117" s="39"/>
      <c r="M117" s="39"/>
      <c r="N117" s="39"/>
      <c r="O117" s="39"/>
      <c r="P117" s="40"/>
      <c r="Q117" s="4"/>
      <c r="U117" s="5"/>
      <c r="V117" s="5"/>
    </row>
    <row r="118" spans="1:22" x14ac:dyDescent="0.25">
      <c r="A118" s="4"/>
      <c r="B118" s="38" t="s">
        <v>105</v>
      </c>
      <c r="C118" s="39"/>
      <c r="D118" s="39"/>
      <c r="E118" s="39"/>
      <c r="F118" s="39"/>
      <c r="G118" s="39"/>
      <c r="H118" s="39"/>
      <c r="I118" s="39"/>
      <c r="J118" s="39"/>
      <c r="K118" s="39"/>
      <c r="L118" s="39"/>
      <c r="M118" s="39"/>
      <c r="N118" s="39"/>
      <c r="O118" s="39"/>
      <c r="P118" s="40"/>
      <c r="Q118" s="4"/>
      <c r="U118" s="5"/>
      <c r="V118" s="5"/>
    </row>
    <row r="119" spans="1:22" x14ac:dyDescent="0.25">
      <c r="A119" s="4"/>
      <c r="B119" s="38" t="s">
        <v>80</v>
      </c>
      <c r="C119" s="39"/>
      <c r="D119" s="39"/>
      <c r="E119" s="39"/>
      <c r="F119" s="39"/>
      <c r="G119" s="39"/>
      <c r="H119" s="39"/>
      <c r="I119" s="39"/>
      <c r="J119" s="39"/>
      <c r="K119" s="39"/>
      <c r="L119" s="39"/>
      <c r="M119" s="39"/>
      <c r="N119" s="39"/>
      <c r="O119" s="39"/>
      <c r="P119" s="40"/>
      <c r="Q119" s="4"/>
      <c r="U119" s="5"/>
      <c r="V119" s="5"/>
    </row>
    <row r="120" spans="1:22" x14ac:dyDescent="0.25">
      <c r="A120" s="4"/>
      <c r="B120" s="38" t="s">
        <v>81</v>
      </c>
      <c r="C120" s="39"/>
      <c r="D120" s="39"/>
      <c r="E120" s="39"/>
      <c r="F120" s="39"/>
      <c r="G120" s="39"/>
      <c r="H120" s="39"/>
      <c r="I120" s="39"/>
      <c r="J120" s="39"/>
      <c r="K120" s="39"/>
      <c r="L120" s="39"/>
      <c r="M120" s="39"/>
      <c r="N120" s="39"/>
      <c r="O120" s="39"/>
      <c r="P120" s="40"/>
      <c r="Q120" s="4"/>
      <c r="U120" s="5"/>
      <c r="V120" s="5"/>
    </row>
    <row r="121" spans="1:22" x14ac:dyDescent="0.25">
      <c r="A121" s="4"/>
      <c r="B121" s="38" t="s">
        <v>82</v>
      </c>
      <c r="C121" s="39"/>
      <c r="D121" s="39"/>
      <c r="E121" s="39"/>
      <c r="F121" s="39"/>
      <c r="G121" s="39"/>
      <c r="H121" s="39"/>
      <c r="I121" s="39"/>
      <c r="J121" s="39"/>
      <c r="K121" s="39"/>
      <c r="L121" s="39"/>
      <c r="M121" s="39"/>
      <c r="N121" s="39"/>
      <c r="O121" s="39"/>
      <c r="P121" s="40"/>
      <c r="Q121" s="4"/>
      <c r="U121" s="5"/>
      <c r="V121" s="5"/>
    </row>
    <row r="122" spans="1:22" x14ac:dyDescent="0.25">
      <c r="A122" s="4"/>
      <c r="B122" s="38" t="s">
        <v>83</v>
      </c>
      <c r="C122" s="39"/>
      <c r="D122" s="39"/>
      <c r="E122" s="39"/>
      <c r="F122" s="39"/>
      <c r="G122" s="39"/>
      <c r="H122" s="39"/>
      <c r="I122" s="39"/>
      <c r="J122" s="39"/>
      <c r="K122" s="39"/>
      <c r="L122" s="39"/>
      <c r="M122" s="39"/>
      <c r="N122" s="39"/>
      <c r="O122" s="39"/>
      <c r="P122" s="40"/>
      <c r="Q122" s="4"/>
      <c r="U122" s="5"/>
      <c r="V122" s="5"/>
    </row>
    <row r="123" spans="1:22" x14ac:dyDescent="0.25">
      <c r="A123" s="4"/>
      <c r="B123" s="41" t="s">
        <v>84</v>
      </c>
      <c r="C123" s="42"/>
      <c r="D123" s="42"/>
      <c r="E123" s="42"/>
      <c r="F123" s="42"/>
      <c r="G123" s="42"/>
      <c r="H123" s="42"/>
      <c r="I123" s="42"/>
      <c r="J123" s="42"/>
      <c r="K123" s="42"/>
      <c r="L123" s="42"/>
      <c r="M123" s="42"/>
      <c r="N123" s="42"/>
      <c r="O123" s="42"/>
      <c r="P123" s="43"/>
      <c r="Q123" s="4"/>
      <c r="U123" s="5"/>
      <c r="V123" s="5"/>
    </row>
    <row r="124" spans="1:22" x14ac:dyDescent="0.25">
      <c r="A124" s="4"/>
      <c r="B124" s="4"/>
      <c r="C124" s="4"/>
      <c r="D124" s="4"/>
      <c r="E124" s="4"/>
      <c r="F124" s="4"/>
      <c r="G124" s="4"/>
      <c r="H124" s="4"/>
      <c r="I124" s="4"/>
      <c r="J124" s="4"/>
      <c r="K124" s="4"/>
      <c r="L124" s="54"/>
      <c r="M124" s="54"/>
      <c r="N124" s="54"/>
      <c r="O124" s="54"/>
      <c r="P124" s="4"/>
      <c r="Q124" s="4"/>
    </row>
    <row r="125" spans="1:22" x14ac:dyDescent="0.25">
      <c r="A125" s="4"/>
      <c r="B125" s="4"/>
      <c r="C125" s="4"/>
      <c r="D125" s="4"/>
      <c r="E125" s="4"/>
      <c r="F125" s="4"/>
      <c r="G125" s="4"/>
      <c r="H125" s="4"/>
      <c r="I125" s="4"/>
      <c r="J125" s="4"/>
      <c r="K125" s="4"/>
      <c r="L125" s="54"/>
      <c r="M125" s="54"/>
      <c r="N125" s="54"/>
      <c r="O125" s="54"/>
      <c r="P125" s="4"/>
      <c r="Q125" s="4"/>
    </row>
    <row r="126" spans="1:22" x14ac:dyDescent="0.25">
      <c r="A126" s="4"/>
      <c r="B126" s="4"/>
      <c r="C126" s="4"/>
      <c r="D126" s="4"/>
      <c r="E126" s="4"/>
      <c r="F126" s="4"/>
      <c r="G126" s="4"/>
      <c r="H126" s="4"/>
      <c r="I126" s="4"/>
      <c r="J126" s="4"/>
      <c r="K126" s="4"/>
      <c r="L126" s="54"/>
      <c r="M126" s="54"/>
      <c r="N126" s="54"/>
      <c r="O126" s="54"/>
      <c r="P126" s="4"/>
      <c r="Q126" s="4"/>
    </row>
    <row r="127" spans="1:22" x14ac:dyDescent="0.25">
      <c r="A127" s="4"/>
      <c r="B127" s="4"/>
      <c r="C127" s="4"/>
      <c r="D127" s="4"/>
      <c r="E127" s="4"/>
      <c r="F127" s="4"/>
      <c r="G127" s="4"/>
      <c r="H127" s="4"/>
      <c r="I127" s="4"/>
      <c r="J127" s="4"/>
      <c r="K127" s="4"/>
      <c r="L127" s="54"/>
      <c r="M127" s="54"/>
      <c r="N127" s="54"/>
      <c r="O127" s="54"/>
      <c r="P127" s="4"/>
      <c r="Q127" s="4"/>
    </row>
    <row r="128" spans="1:22" x14ac:dyDescent="0.25">
      <c r="A128" s="4"/>
      <c r="B128" s="4"/>
      <c r="C128" s="4"/>
      <c r="D128" s="4"/>
      <c r="E128" s="4"/>
      <c r="F128" s="4"/>
      <c r="G128" s="4"/>
      <c r="H128" s="4"/>
      <c r="I128" s="4"/>
      <c r="J128" s="4"/>
      <c r="K128" s="4"/>
      <c r="L128" s="54"/>
      <c r="M128" s="54"/>
      <c r="N128" s="54"/>
      <c r="O128" s="54"/>
      <c r="P128" s="4"/>
      <c r="Q128" s="4"/>
    </row>
    <row r="129" spans="1:17" x14ac:dyDescent="0.25">
      <c r="A129" s="4"/>
      <c r="B129" s="4"/>
      <c r="C129" s="4"/>
      <c r="D129" s="4"/>
      <c r="E129" s="4"/>
      <c r="F129" s="4"/>
      <c r="G129" s="4"/>
      <c r="H129" s="4"/>
      <c r="I129" s="4"/>
      <c r="J129" s="4"/>
      <c r="K129" s="4"/>
      <c r="L129" s="54"/>
      <c r="M129" s="54"/>
      <c r="N129" s="54"/>
      <c r="O129" s="54"/>
      <c r="P129" s="4"/>
      <c r="Q129" s="4"/>
    </row>
    <row r="130" spans="1:17" x14ac:dyDescent="0.25">
      <c r="A130" s="4"/>
      <c r="B130" s="4"/>
      <c r="C130" s="4"/>
      <c r="D130" s="4"/>
      <c r="E130" s="4"/>
      <c r="F130" s="4"/>
      <c r="G130" s="4"/>
      <c r="H130" s="4"/>
      <c r="I130" s="4"/>
      <c r="J130" s="4"/>
      <c r="K130" s="4"/>
      <c r="L130" s="54"/>
      <c r="M130" s="54"/>
      <c r="N130" s="54"/>
      <c r="O130" s="54"/>
      <c r="P130" s="4"/>
      <c r="Q130" s="4"/>
    </row>
    <row r="131" spans="1:17" x14ac:dyDescent="0.25">
      <c r="A131" s="4"/>
      <c r="B131" s="4"/>
      <c r="C131" s="4"/>
      <c r="D131" s="4"/>
      <c r="E131" s="4"/>
      <c r="F131" s="4"/>
      <c r="G131" s="4"/>
      <c r="H131" s="4"/>
      <c r="I131" s="4"/>
      <c r="J131" s="4"/>
      <c r="K131" s="4"/>
      <c r="L131" s="54"/>
      <c r="M131" s="54"/>
      <c r="N131" s="54"/>
      <c r="O131" s="54"/>
      <c r="P131" s="4"/>
      <c r="Q131" s="4"/>
    </row>
    <row r="132" spans="1:17" x14ac:dyDescent="0.25">
      <c r="A132" s="4"/>
      <c r="B132" s="4"/>
      <c r="C132" s="4"/>
      <c r="D132" s="4"/>
      <c r="E132" s="4"/>
      <c r="F132" s="4"/>
      <c r="G132" s="4"/>
      <c r="H132" s="4"/>
      <c r="I132" s="4"/>
      <c r="J132" s="4"/>
      <c r="K132" s="4"/>
      <c r="L132" s="54"/>
      <c r="M132" s="54"/>
      <c r="N132" s="54"/>
      <c r="O132" s="54"/>
      <c r="P132" s="4"/>
      <c r="Q132" s="4"/>
    </row>
    <row r="133" spans="1:17" x14ac:dyDescent="0.25">
      <c r="A133" s="4"/>
      <c r="B133" s="4"/>
      <c r="C133" s="4"/>
      <c r="D133" s="4"/>
      <c r="E133" s="4"/>
      <c r="F133" s="4"/>
      <c r="G133" s="4"/>
      <c r="H133" s="4"/>
      <c r="I133" s="4"/>
      <c r="J133" s="4"/>
      <c r="K133" s="4"/>
      <c r="L133" s="54"/>
      <c r="M133" s="54"/>
      <c r="N133" s="54"/>
      <c r="O133" s="54"/>
      <c r="P133" s="4"/>
      <c r="Q133" s="4"/>
    </row>
    <row r="134" spans="1:17" x14ac:dyDescent="0.25">
      <c r="A134" s="4"/>
      <c r="B134" s="4"/>
      <c r="C134" s="4"/>
      <c r="D134" s="4"/>
      <c r="E134" s="4"/>
      <c r="F134" s="4"/>
      <c r="G134" s="4"/>
      <c r="H134" s="4"/>
      <c r="I134" s="4"/>
      <c r="J134" s="4"/>
      <c r="K134" s="4"/>
      <c r="L134" s="54"/>
      <c r="M134" s="54"/>
      <c r="N134" s="54"/>
      <c r="O134" s="54"/>
      <c r="P134" s="4"/>
      <c r="Q134" s="4"/>
    </row>
    <row r="135" spans="1:17" x14ac:dyDescent="0.25">
      <c r="A135" s="4"/>
      <c r="B135" s="4"/>
      <c r="C135" s="4"/>
      <c r="D135" s="4"/>
      <c r="E135" s="4"/>
      <c r="F135" s="4"/>
      <c r="G135" s="4"/>
      <c r="H135" s="4"/>
      <c r="I135" s="4"/>
      <c r="J135" s="4"/>
      <c r="K135" s="4"/>
      <c r="L135" s="54"/>
      <c r="M135" s="54"/>
      <c r="N135" s="54"/>
      <c r="O135" s="54"/>
      <c r="P135" s="4"/>
      <c r="Q135" s="4"/>
    </row>
    <row r="136" spans="1:17" x14ac:dyDescent="0.25">
      <c r="A136" s="4"/>
      <c r="B136" s="4"/>
      <c r="C136" s="4"/>
      <c r="D136" s="4"/>
      <c r="E136" s="4"/>
      <c r="F136" s="4"/>
      <c r="G136" s="4"/>
      <c r="H136" s="4"/>
      <c r="I136" s="4"/>
      <c r="J136" s="4"/>
      <c r="K136" s="4"/>
      <c r="L136" s="54"/>
      <c r="M136" s="54"/>
      <c r="N136" s="54"/>
      <c r="O136" s="54"/>
      <c r="P136" s="4"/>
      <c r="Q136" s="4"/>
    </row>
    <row r="137" spans="1:17" x14ac:dyDescent="0.25">
      <c r="L137" s="56"/>
      <c r="M137" s="56"/>
      <c r="N137" s="56"/>
      <c r="O137" s="56"/>
    </row>
    <row r="138" spans="1:17" x14ac:dyDescent="0.25">
      <c r="L138" s="56"/>
      <c r="M138" s="56"/>
      <c r="N138" s="56"/>
      <c r="O138" s="56"/>
    </row>
    <row r="139" spans="1:17" x14ac:dyDescent="0.25">
      <c r="L139" s="56"/>
      <c r="M139" s="56"/>
      <c r="N139" s="56"/>
      <c r="O139" s="56"/>
    </row>
    <row r="140" spans="1:17" x14ac:dyDescent="0.25">
      <c r="L140" s="56"/>
      <c r="M140" s="56"/>
      <c r="N140" s="56"/>
      <c r="O140" s="56"/>
    </row>
    <row r="141" spans="1:17" x14ac:dyDescent="0.25">
      <c r="L141" s="56"/>
      <c r="M141" s="56"/>
      <c r="N141" s="56"/>
      <c r="O141" s="56"/>
    </row>
    <row r="142" spans="1:17" x14ac:dyDescent="0.25">
      <c r="L142" s="56"/>
      <c r="M142" s="56"/>
      <c r="N142" s="56"/>
      <c r="O142" s="56"/>
    </row>
    <row r="143" spans="1:17" x14ac:dyDescent="0.25">
      <c r="L143" s="56"/>
      <c r="M143" s="56"/>
      <c r="N143" s="56"/>
      <c r="O143" s="56"/>
    </row>
    <row r="144" spans="1:17" x14ac:dyDescent="0.25">
      <c r="L144" s="56"/>
      <c r="M144" s="56"/>
      <c r="N144" s="56"/>
      <c r="O144" s="56"/>
    </row>
    <row r="145" spans="12:15" x14ac:dyDescent="0.25">
      <c r="L145" s="56"/>
      <c r="M145" s="56"/>
      <c r="N145" s="56"/>
      <c r="O145" s="56"/>
    </row>
    <row r="146" spans="12:15" x14ac:dyDescent="0.25">
      <c r="L146" s="56"/>
      <c r="M146" s="56"/>
      <c r="N146" s="56"/>
      <c r="O146" s="56"/>
    </row>
    <row r="147" spans="12:15" x14ac:dyDescent="0.25">
      <c r="L147" s="56"/>
      <c r="M147" s="56"/>
      <c r="N147" s="56"/>
      <c r="O147" s="56"/>
    </row>
    <row r="148" spans="12:15" x14ac:dyDescent="0.25">
      <c r="L148" s="56"/>
      <c r="M148" s="56"/>
      <c r="N148" s="56"/>
      <c r="O148" s="56"/>
    </row>
    <row r="149" spans="12:15" x14ac:dyDescent="0.25">
      <c r="L149" s="56"/>
      <c r="M149" s="56"/>
      <c r="N149" s="56"/>
      <c r="O149" s="56"/>
    </row>
    <row r="150" spans="12:15" x14ac:dyDescent="0.25">
      <c r="L150" s="56"/>
      <c r="M150" s="56"/>
      <c r="N150" s="56"/>
      <c r="O150" s="56"/>
    </row>
    <row r="151" spans="12:15" x14ac:dyDescent="0.25">
      <c r="L151" s="56"/>
      <c r="M151" s="56"/>
      <c r="N151" s="56"/>
      <c r="O151" s="56"/>
    </row>
    <row r="152" spans="12:15" x14ac:dyDescent="0.25">
      <c r="L152" s="56"/>
      <c r="M152" s="56"/>
      <c r="N152" s="56"/>
      <c r="O152" s="56"/>
    </row>
    <row r="153" spans="12:15" x14ac:dyDescent="0.25">
      <c r="L153" s="56"/>
      <c r="M153" s="56"/>
      <c r="N153" s="56"/>
      <c r="O153" s="56"/>
    </row>
    <row r="154" spans="12:15" x14ac:dyDescent="0.25">
      <c r="L154" s="56"/>
      <c r="M154" s="56"/>
      <c r="N154" s="56"/>
      <c r="O154" s="56"/>
    </row>
    <row r="155" spans="12:15" x14ac:dyDescent="0.25">
      <c r="L155" s="56"/>
      <c r="M155" s="56"/>
      <c r="N155" s="56"/>
      <c r="O155" s="56"/>
    </row>
    <row r="156" spans="12:15" x14ac:dyDescent="0.25">
      <c r="L156" s="56"/>
      <c r="M156" s="56"/>
      <c r="N156" s="56"/>
      <c r="O156" s="56"/>
    </row>
    <row r="157" spans="12:15" x14ac:dyDescent="0.25">
      <c r="L157" s="56"/>
      <c r="M157" s="56"/>
      <c r="N157" s="56"/>
      <c r="O157" s="56"/>
    </row>
    <row r="158" spans="12:15" x14ac:dyDescent="0.25">
      <c r="L158" s="56"/>
      <c r="M158" s="56"/>
      <c r="N158" s="56"/>
      <c r="O158" s="56"/>
    </row>
    <row r="159" spans="12:15" x14ac:dyDescent="0.25">
      <c r="L159" s="56"/>
      <c r="M159" s="56"/>
      <c r="N159" s="56"/>
      <c r="O159" s="56"/>
    </row>
    <row r="160" spans="12:15" x14ac:dyDescent="0.25">
      <c r="L160" s="56"/>
      <c r="M160" s="56"/>
      <c r="N160" s="56"/>
      <c r="O160" s="56"/>
    </row>
    <row r="161" spans="12:15" x14ac:dyDescent="0.25">
      <c r="L161" s="56"/>
      <c r="M161" s="56"/>
      <c r="N161" s="56"/>
      <c r="O161" s="56"/>
    </row>
    <row r="162" spans="12:15" x14ac:dyDescent="0.25">
      <c r="L162" s="56"/>
      <c r="M162" s="56"/>
      <c r="N162" s="56"/>
      <c r="O162" s="56"/>
    </row>
    <row r="163" spans="12:15" x14ac:dyDescent="0.25">
      <c r="L163" s="56"/>
      <c r="M163" s="56"/>
      <c r="N163" s="56"/>
      <c r="O163" s="56"/>
    </row>
    <row r="164" spans="12:15" x14ac:dyDescent="0.25">
      <c r="L164" s="56"/>
      <c r="M164" s="56"/>
      <c r="N164" s="56"/>
      <c r="O164" s="56"/>
    </row>
    <row r="165" spans="12:15" x14ac:dyDescent="0.25">
      <c r="L165" s="56"/>
      <c r="M165" s="56"/>
      <c r="N165" s="56"/>
      <c r="O165" s="56"/>
    </row>
    <row r="166" spans="12:15" x14ac:dyDescent="0.25">
      <c r="L166" s="56"/>
      <c r="M166" s="56"/>
      <c r="N166" s="56"/>
      <c r="O166" s="56"/>
    </row>
    <row r="167" spans="12:15" x14ac:dyDescent="0.25">
      <c r="L167" s="56"/>
      <c r="M167" s="56"/>
      <c r="N167" s="56"/>
      <c r="O167" s="56"/>
    </row>
    <row r="168" spans="12:15" x14ac:dyDescent="0.25">
      <c r="L168" s="56"/>
      <c r="M168" s="56"/>
      <c r="N168" s="56"/>
      <c r="O168" s="56"/>
    </row>
    <row r="169" spans="12:15" x14ac:dyDescent="0.25">
      <c r="L169" s="56"/>
      <c r="M169" s="56"/>
      <c r="N169" s="56"/>
      <c r="O169" s="56"/>
    </row>
    <row r="170" spans="12:15" x14ac:dyDescent="0.25">
      <c r="L170" s="56"/>
      <c r="M170" s="56"/>
      <c r="N170" s="56"/>
      <c r="O170" s="56"/>
    </row>
    <row r="171" spans="12:15" x14ac:dyDescent="0.25">
      <c r="L171" s="56"/>
      <c r="M171" s="56"/>
      <c r="N171" s="56"/>
      <c r="O171" s="56"/>
    </row>
    <row r="172" spans="12:15" x14ac:dyDescent="0.25">
      <c r="L172" s="56"/>
      <c r="M172" s="56"/>
      <c r="N172" s="56"/>
      <c r="O172" s="56"/>
    </row>
    <row r="173" spans="12:15" x14ac:dyDescent="0.25">
      <c r="L173" s="56"/>
      <c r="M173" s="56"/>
      <c r="N173" s="56"/>
      <c r="O173" s="56"/>
    </row>
    <row r="174" spans="12:15" x14ac:dyDescent="0.25">
      <c r="L174" s="56"/>
      <c r="M174" s="56"/>
      <c r="N174" s="56"/>
      <c r="O174" s="56"/>
    </row>
    <row r="175" spans="12:15" x14ac:dyDescent="0.25">
      <c r="L175" s="56"/>
      <c r="M175" s="56"/>
      <c r="N175" s="56"/>
      <c r="O175" s="56"/>
    </row>
    <row r="176" spans="12:15" x14ac:dyDescent="0.25">
      <c r="L176" s="56"/>
      <c r="M176" s="56"/>
      <c r="N176" s="56"/>
      <c r="O176" s="56"/>
    </row>
    <row r="177" spans="12:15" x14ac:dyDescent="0.25">
      <c r="L177" s="56"/>
      <c r="M177" s="56"/>
      <c r="N177" s="56"/>
      <c r="O177" s="56"/>
    </row>
    <row r="178" spans="12:15" x14ac:dyDescent="0.25">
      <c r="L178" s="56"/>
      <c r="M178" s="56"/>
      <c r="N178" s="56"/>
      <c r="O178" s="56"/>
    </row>
    <row r="179" spans="12:15" x14ac:dyDescent="0.25">
      <c r="L179" s="56"/>
      <c r="M179" s="56"/>
      <c r="N179" s="56"/>
      <c r="O179" s="56"/>
    </row>
    <row r="180" spans="12:15" x14ac:dyDescent="0.25">
      <c r="L180" s="56"/>
      <c r="M180" s="56"/>
      <c r="N180" s="56"/>
      <c r="O180" s="56"/>
    </row>
    <row r="181" spans="12:15" x14ac:dyDescent="0.25">
      <c r="L181" s="56"/>
      <c r="M181" s="56"/>
      <c r="N181" s="56"/>
      <c r="O181" s="56"/>
    </row>
    <row r="182" spans="12:15" x14ac:dyDescent="0.25">
      <c r="L182" s="56"/>
      <c r="M182" s="56"/>
      <c r="N182" s="56"/>
      <c r="O182" s="56"/>
    </row>
    <row r="183" spans="12:15" x14ac:dyDescent="0.25">
      <c r="L183" s="56"/>
      <c r="M183" s="56"/>
      <c r="N183" s="56"/>
      <c r="O183" s="56"/>
    </row>
    <row r="184" spans="12:15" x14ac:dyDescent="0.25">
      <c r="L184" s="56"/>
      <c r="M184" s="56"/>
      <c r="N184" s="56"/>
      <c r="O184" s="56"/>
    </row>
    <row r="185" spans="12:15" x14ac:dyDescent="0.25">
      <c r="L185" s="56"/>
      <c r="M185" s="56"/>
      <c r="N185" s="56"/>
      <c r="O185" s="56"/>
    </row>
    <row r="186" spans="12:15" x14ac:dyDescent="0.25">
      <c r="L186" s="56"/>
      <c r="M186" s="56"/>
      <c r="N186" s="56"/>
      <c r="O186" s="56"/>
    </row>
    <row r="187" spans="12:15" x14ac:dyDescent="0.25">
      <c r="L187" s="56"/>
      <c r="M187" s="56"/>
      <c r="N187" s="56"/>
      <c r="O187" s="56"/>
    </row>
    <row r="188" spans="12:15" x14ac:dyDescent="0.25">
      <c r="L188" s="56"/>
      <c r="M188" s="56"/>
      <c r="N188" s="56"/>
      <c r="O188" s="56"/>
    </row>
    <row r="189" spans="12:15" x14ac:dyDescent="0.25">
      <c r="L189" s="56"/>
      <c r="M189" s="56"/>
      <c r="N189" s="56"/>
      <c r="O189" s="56"/>
    </row>
    <row r="190" spans="12:15" x14ac:dyDescent="0.25">
      <c r="L190" s="56"/>
      <c r="M190" s="56"/>
      <c r="N190" s="56"/>
      <c r="O190" s="56"/>
    </row>
    <row r="191" spans="12:15" x14ac:dyDescent="0.25">
      <c r="L191" s="56"/>
      <c r="M191" s="56"/>
      <c r="N191" s="56"/>
      <c r="O191" s="56"/>
    </row>
    <row r="192" spans="12:15" x14ac:dyDescent="0.25">
      <c r="L192" s="56"/>
      <c r="M192" s="56"/>
      <c r="N192" s="56"/>
      <c r="O192" s="56"/>
    </row>
    <row r="193" spans="12:15" x14ac:dyDescent="0.25">
      <c r="L193" s="56"/>
      <c r="M193" s="56"/>
      <c r="N193" s="56"/>
      <c r="O193" s="56"/>
    </row>
    <row r="194" spans="12:15" x14ac:dyDescent="0.25">
      <c r="L194" s="56"/>
      <c r="M194" s="56"/>
      <c r="N194" s="56"/>
      <c r="O194" s="56"/>
    </row>
    <row r="195" spans="12:15" x14ac:dyDescent="0.25">
      <c r="L195" s="56"/>
      <c r="M195" s="56"/>
      <c r="N195" s="56"/>
      <c r="O195" s="56"/>
    </row>
    <row r="196" spans="12:15" x14ac:dyDescent="0.25">
      <c r="L196" s="56"/>
      <c r="M196" s="56"/>
      <c r="N196" s="56"/>
      <c r="O196" s="56"/>
    </row>
    <row r="197" spans="12:15" x14ac:dyDescent="0.25">
      <c r="L197" s="56"/>
      <c r="M197" s="56"/>
      <c r="N197" s="56"/>
      <c r="O197" s="56"/>
    </row>
    <row r="198" spans="12:15" x14ac:dyDescent="0.25">
      <c r="L198" s="56"/>
      <c r="M198" s="56"/>
      <c r="N198" s="56"/>
      <c r="O198" s="56"/>
    </row>
    <row r="199" spans="12:15" x14ac:dyDescent="0.25">
      <c r="L199" s="56"/>
      <c r="M199" s="56"/>
      <c r="N199" s="56"/>
      <c r="O199" s="56"/>
    </row>
    <row r="200" spans="12:15" x14ac:dyDescent="0.25">
      <c r="L200" s="56"/>
      <c r="M200" s="56"/>
      <c r="N200" s="56"/>
      <c r="O200" s="56"/>
    </row>
    <row r="201" spans="12:15" x14ac:dyDescent="0.25">
      <c r="L201" s="56"/>
      <c r="M201" s="56"/>
      <c r="N201" s="56"/>
      <c r="O201" s="56"/>
    </row>
    <row r="202" spans="12:15" x14ac:dyDescent="0.25">
      <c r="L202" s="56"/>
      <c r="M202" s="56"/>
      <c r="N202" s="56"/>
      <c r="O202" s="56"/>
    </row>
    <row r="203" spans="12:15" x14ac:dyDescent="0.25">
      <c r="L203" s="56"/>
      <c r="M203" s="56"/>
      <c r="N203" s="56"/>
      <c r="O203" s="56"/>
    </row>
    <row r="204" spans="12:15" x14ac:dyDescent="0.25">
      <c r="L204" s="56"/>
      <c r="M204" s="56"/>
      <c r="N204" s="56"/>
      <c r="O204" s="56"/>
    </row>
    <row r="205" spans="12:15" x14ac:dyDescent="0.25">
      <c r="L205" s="56"/>
      <c r="M205" s="56"/>
      <c r="N205" s="56"/>
      <c r="O205" s="56"/>
    </row>
    <row r="206" spans="12:15" x14ac:dyDescent="0.25">
      <c r="L206" s="56"/>
      <c r="M206" s="56"/>
      <c r="N206" s="56"/>
      <c r="O206" s="56"/>
    </row>
    <row r="207" spans="12:15" x14ac:dyDescent="0.25">
      <c r="L207" s="56"/>
      <c r="M207" s="56"/>
      <c r="N207" s="56"/>
      <c r="O207" s="56"/>
    </row>
    <row r="208" spans="12:15" x14ac:dyDescent="0.25">
      <c r="L208" s="56"/>
      <c r="M208" s="56"/>
      <c r="N208" s="56"/>
      <c r="O208" s="56"/>
    </row>
    <row r="209" spans="12:15" x14ac:dyDescent="0.25">
      <c r="L209" s="56"/>
      <c r="M209" s="56"/>
      <c r="N209" s="56"/>
      <c r="O209" s="56"/>
    </row>
    <row r="210" spans="12:15" x14ac:dyDescent="0.25">
      <c r="L210" s="56"/>
      <c r="M210" s="56"/>
      <c r="N210" s="56"/>
      <c r="O210" s="56"/>
    </row>
    <row r="211" spans="12:15" x14ac:dyDescent="0.25">
      <c r="L211" s="56"/>
      <c r="M211" s="56"/>
      <c r="N211" s="56"/>
      <c r="O211" s="56"/>
    </row>
    <row r="212" spans="12:15" x14ac:dyDescent="0.25">
      <c r="L212" s="56"/>
      <c r="M212" s="56"/>
      <c r="N212" s="56"/>
      <c r="O212" s="56"/>
    </row>
    <row r="213" spans="12:15" x14ac:dyDescent="0.25">
      <c r="L213" s="56"/>
      <c r="M213" s="56"/>
      <c r="N213" s="56"/>
      <c r="O213" s="56"/>
    </row>
    <row r="214" spans="12:15" x14ac:dyDescent="0.25">
      <c r="L214" s="56"/>
      <c r="M214" s="56"/>
      <c r="N214" s="56"/>
      <c r="O214" s="56"/>
    </row>
    <row r="215" spans="12:15" x14ac:dyDescent="0.25">
      <c r="L215" s="56"/>
      <c r="M215" s="56"/>
      <c r="N215" s="56"/>
      <c r="O215" s="56"/>
    </row>
    <row r="216" spans="12:15" x14ac:dyDescent="0.25">
      <c r="L216" s="56"/>
      <c r="M216" s="56"/>
      <c r="N216" s="56"/>
      <c r="O216" s="56"/>
    </row>
    <row r="217" spans="12:15" x14ac:dyDescent="0.25">
      <c r="L217" s="56"/>
      <c r="M217" s="56"/>
      <c r="N217" s="56"/>
      <c r="O217" s="56"/>
    </row>
    <row r="218" spans="12:15" x14ac:dyDescent="0.25">
      <c r="L218" s="56"/>
      <c r="M218" s="56"/>
      <c r="N218" s="56"/>
      <c r="O218" s="56"/>
    </row>
    <row r="219" spans="12:15" x14ac:dyDescent="0.25">
      <c r="L219" s="56"/>
      <c r="M219" s="56"/>
      <c r="N219" s="56"/>
      <c r="O219" s="56"/>
    </row>
    <row r="220" spans="12:15" x14ac:dyDescent="0.25">
      <c r="L220" s="56"/>
      <c r="M220" s="56"/>
      <c r="N220" s="56"/>
      <c r="O220" s="56"/>
    </row>
    <row r="221" spans="12:15" x14ac:dyDescent="0.25">
      <c r="L221" s="56"/>
      <c r="M221" s="56"/>
      <c r="N221" s="56"/>
      <c r="O221" s="56"/>
    </row>
    <row r="222" spans="12:15" x14ac:dyDescent="0.25">
      <c r="L222" s="56"/>
      <c r="M222" s="56"/>
      <c r="N222" s="56"/>
      <c r="O222" s="56"/>
    </row>
    <row r="223" spans="12:15" x14ac:dyDescent="0.25">
      <c r="L223" s="56"/>
      <c r="M223" s="56"/>
      <c r="N223" s="56"/>
      <c r="O223" s="56"/>
    </row>
    <row r="224" spans="12:15" x14ac:dyDescent="0.25">
      <c r="L224" s="56"/>
      <c r="M224" s="56"/>
      <c r="N224" s="56"/>
      <c r="O224" s="56"/>
    </row>
    <row r="225" spans="12:15" x14ac:dyDescent="0.25">
      <c r="L225" s="56"/>
      <c r="M225" s="56"/>
      <c r="N225" s="56"/>
      <c r="O225" s="56"/>
    </row>
    <row r="226" spans="12:15" x14ac:dyDescent="0.25">
      <c r="L226" s="56"/>
      <c r="M226" s="56"/>
      <c r="N226" s="56"/>
      <c r="O226" s="56"/>
    </row>
    <row r="227" spans="12:15" x14ac:dyDescent="0.25">
      <c r="L227" s="56"/>
      <c r="M227" s="56"/>
      <c r="N227" s="56"/>
      <c r="O227" s="56"/>
    </row>
    <row r="228" spans="12:15" x14ac:dyDescent="0.25">
      <c r="L228" s="56"/>
      <c r="M228" s="56"/>
      <c r="N228" s="56"/>
      <c r="O228" s="56"/>
    </row>
    <row r="229" spans="12:15" x14ac:dyDescent="0.25">
      <c r="L229" s="56"/>
      <c r="M229" s="56"/>
      <c r="N229" s="56"/>
      <c r="O229" s="56"/>
    </row>
    <row r="230" spans="12:15" x14ac:dyDescent="0.25">
      <c r="L230" s="56"/>
      <c r="M230" s="56"/>
      <c r="N230" s="56"/>
      <c r="O230" s="56"/>
    </row>
    <row r="231" spans="12:15" x14ac:dyDescent="0.25">
      <c r="L231" s="56"/>
      <c r="M231" s="56"/>
      <c r="N231" s="56"/>
      <c r="O231" s="56"/>
    </row>
    <row r="232" spans="12:15" x14ac:dyDescent="0.25">
      <c r="L232" s="56"/>
      <c r="M232" s="56"/>
      <c r="N232" s="56"/>
      <c r="O232" s="56"/>
    </row>
    <row r="233" spans="12:15" x14ac:dyDescent="0.25">
      <c r="L233" s="56"/>
      <c r="M233" s="56"/>
      <c r="N233" s="56"/>
      <c r="O233" s="56"/>
    </row>
    <row r="234" spans="12:15" x14ac:dyDescent="0.25">
      <c r="L234" s="56"/>
      <c r="M234" s="56"/>
      <c r="N234" s="56"/>
      <c r="O234" s="56"/>
    </row>
    <row r="235" spans="12:15" x14ac:dyDescent="0.25">
      <c r="L235" s="56"/>
      <c r="M235" s="56"/>
      <c r="N235" s="56"/>
      <c r="O235" s="56"/>
    </row>
    <row r="236" spans="12:15" x14ac:dyDescent="0.25">
      <c r="L236" s="56"/>
      <c r="M236" s="56"/>
      <c r="N236" s="56"/>
      <c r="O236" s="56"/>
    </row>
    <row r="237" spans="12:15" x14ac:dyDescent="0.25">
      <c r="L237" s="56"/>
      <c r="M237" s="56"/>
      <c r="N237" s="56"/>
      <c r="O237" s="56"/>
    </row>
    <row r="238" spans="12:15" x14ac:dyDescent="0.25">
      <c r="L238" s="56"/>
      <c r="M238" s="56"/>
      <c r="N238" s="56"/>
      <c r="O238" s="56"/>
    </row>
    <row r="239" spans="12:15" x14ac:dyDescent="0.25">
      <c r="L239" s="56"/>
      <c r="M239" s="56"/>
      <c r="N239" s="56"/>
      <c r="O239" s="56"/>
    </row>
    <row r="240" spans="12:15" x14ac:dyDescent="0.25">
      <c r="L240" s="56"/>
      <c r="M240" s="56"/>
      <c r="N240" s="56"/>
      <c r="O240" s="56"/>
    </row>
    <row r="241" spans="12:15" x14ac:dyDescent="0.25">
      <c r="L241" s="56"/>
      <c r="M241" s="56"/>
      <c r="N241" s="56"/>
      <c r="O241" s="56"/>
    </row>
    <row r="242" spans="12:15" x14ac:dyDescent="0.25">
      <c r="L242" s="56"/>
      <c r="M242" s="56"/>
      <c r="N242" s="56"/>
      <c r="O242" s="56"/>
    </row>
    <row r="243" spans="12:15" x14ac:dyDescent="0.25">
      <c r="L243" s="56"/>
      <c r="M243" s="56"/>
      <c r="N243" s="56"/>
      <c r="O243" s="56"/>
    </row>
    <row r="244" spans="12:15" x14ac:dyDescent="0.25">
      <c r="L244" s="56"/>
      <c r="M244" s="56"/>
      <c r="N244" s="56"/>
      <c r="O244" s="56"/>
    </row>
    <row r="245" spans="12:15" x14ac:dyDescent="0.25">
      <c r="L245" s="56"/>
      <c r="M245" s="56"/>
      <c r="N245" s="56"/>
      <c r="O245" s="56"/>
    </row>
    <row r="246" spans="12:15" x14ac:dyDescent="0.25">
      <c r="L246" s="56"/>
      <c r="M246" s="56"/>
      <c r="N246" s="56"/>
      <c r="O246" s="56"/>
    </row>
    <row r="247" spans="12:15" x14ac:dyDescent="0.25">
      <c r="L247" s="56"/>
      <c r="M247" s="56"/>
      <c r="N247" s="56"/>
      <c r="O247" s="56"/>
    </row>
    <row r="248" spans="12:15" x14ac:dyDescent="0.25">
      <c r="L248" s="56"/>
      <c r="M248" s="56"/>
      <c r="N248" s="56"/>
      <c r="O248" s="56"/>
    </row>
    <row r="249" spans="12:15" x14ac:dyDescent="0.25">
      <c r="L249" s="56"/>
      <c r="M249" s="56"/>
      <c r="N249" s="56"/>
      <c r="O249" s="56"/>
    </row>
    <row r="250" spans="12:15" x14ac:dyDescent="0.25">
      <c r="L250" s="56"/>
      <c r="M250" s="56"/>
      <c r="N250" s="56"/>
      <c r="O250" s="56"/>
    </row>
    <row r="251" spans="12:15" x14ac:dyDescent="0.25">
      <c r="L251" s="56"/>
      <c r="M251" s="56"/>
      <c r="N251" s="56"/>
      <c r="O251" s="56"/>
    </row>
    <row r="252" spans="12:15" x14ac:dyDescent="0.25">
      <c r="L252" s="56"/>
      <c r="M252" s="56"/>
      <c r="N252" s="56"/>
      <c r="O252" s="56"/>
    </row>
    <row r="253" spans="12:15" x14ac:dyDescent="0.25">
      <c r="L253" s="56"/>
      <c r="M253" s="56"/>
      <c r="N253" s="56"/>
      <c r="O253" s="56"/>
    </row>
    <row r="254" spans="12:15" x14ac:dyDescent="0.25">
      <c r="L254" s="56"/>
      <c r="M254" s="56"/>
      <c r="N254" s="56"/>
      <c r="O254" s="56"/>
    </row>
    <row r="255" spans="12:15" x14ac:dyDescent="0.25">
      <c r="L255" s="56"/>
      <c r="M255" s="56"/>
      <c r="N255" s="56"/>
      <c r="O255" s="56"/>
    </row>
    <row r="256" spans="12:15" x14ac:dyDescent="0.25">
      <c r="L256" s="56"/>
      <c r="M256" s="56"/>
      <c r="N256" s="56"/>
      <c r="O256" s="56"/>
    </row>
    <row r="257" spans="12:15" x14ac:dyDescent="0.25">
      <c r="L257" s="56"/>
      <c r="M257" s="56"/>
      <c r="N257" s="56"/>
      <c r="O257" s="56"/>
    </row>
    <row r="258" spans="12:15" x14ac:dyDescent="0.25">
      <c r="L258" s="56"/>
      <c r="M258" s="56"/>
      <c r="N258" s="56"/>
      <c r="O258" s="56"/>
    </row>
    <row r="259" spans="12:15" x14ac:dyDescent="0.25">
      <c r="L259" s="56"/>
      <c r="M259" s="56"/>
      <c r="N259" s="56"/>
      <c r="O259" s="56"/>
    </row>
    <row r="260" spans="12:15" x14ac:dyDescent="0.25">
      <c r="L260" s="56"/>
      <c r="M260" s="56"/>
      <c r="N260" s="56"/>
      <c r="O260" s="56"/>
    </row>
    <row r="261" spans="12:15" x14ac:dyDescent="0.25">
      <c r="L261" s="56"/>
      <c r="M261" s="56"/>
      <c r="N261" s="56"/>
      <c r="O261" s="56"/>
    </row>
    <row r="262" spans="12:15" x14ac:dyDescent="0.25">
      <c r="L262" s="56"/>
      <c r="M262" s="56"/>
      <c r="N262" s="56"/>
      <c r="O262" s="56"/>
    </row>
    <row r="263" spans="12:15" x14ac:dyDescent="0.25">
      <c r="L263" s="56"/>
      <c r="M263" s="56"/>
      <c r="N263" s="56"/>
      <c r="O263" s="56"/>
    </row>
    <row r="264" spans="12:15" x14ac:dyDescent="0.25">
      <c r="L264" s="56"/>
      <c r="M264" s="56"/>
      <c r="N264" s="56"/>
      <c r="O264" s="56"/>
    </row>
    <row r="265" spans="12:15" x14ac:dyDescent="0.25">
      <c r="L265" s="56"/>
      <c r="M265" s="56"/>
      <c r="N265" s="56"/>
      <c r="O265" s="56"/>
    </row>
    <row r="266" spans="12:15" x14ac:dyDescent="0.25">
      <c r="L266" s="56"/>
      <c r="M266" s="56"/>
      <c r="N266" s="56"/>
      <c r="O266" s="56"/>
    </row>
    <row r="267" spans="12:15" x14ac:dyDescent="0.25">
      <c r="L267" s="56"/>
      <c r="M267" s="56"/>
      <c r="N267" s="56"/>
      <c r="O267" s="56"/>
    </row>
    <row r="268" spans="12:15" x14ac:dyDescent="0.25">
      <c r="L268" s="56"/>
      <c r="M268" s="56"/>
      <c r="N268" s="56"/>
      <c r="O268" s="56"/>
    </row>
    <row r="269" spans="12:15" x14ac:dyDescent="0.25">
      <c r="L269" s="56"/>
      <c r="M269" s="56"/>
      <c r="N269" s="56"/>
      <c r="O269" s="56"/>
    </row>
    <row r="270" spans="12:15" x14ac:dyDescent="0.25">
      <c r="L270" s="56"/>
      <c r="M270" s="56"/>
      <c r="N270" s="56"/>
      <c r="O270" s="56"/>
    </row>
    <row r="271" spans="12:15" x14ac:dyDescent="0.25">
      <c r="L271" s="56"/>
      <c r="M271" s="56"/>
      <c r="N271" s="56"/>
      <c r="O271" s="56"/>
    </row>
    <row r="272" spans="12:15" x14ac:dyDescent="0.25">
      <c r="L272" s="56"/>
      <c r="M272" s="56"/>
      <c r="N272" s="56"/>
      <c r="O272" s="56"/>
    </row>
    <row r="273" spans="12:15" x14ac:dyDescent="0.25">
      <c r="L273" s="56"/>
      <c r="M273" s="56"/>
      <c r="N273" s="56"/>
      <c r="O273" s="56"/>
    </row>
    <row r="274" spans="12:15" x14ac:dyDescent="0.25">
      <c r="L274" s="56"/>
      <c r="M274" s="56"/>
      <c r="N274" s="56"/>
      <c r="O274" s="56"/>
    </row>
    <row r="275" spans="12:15" x14ac:dyDescent="0.25">
      <c r="L275" s="56"/>
      <c r="M275" s="56"/>
      <c r="N275" s="56"/>
      <c r="O275" s="56"/>
    </row>
    <row r="276" spans="12:15" x14ac:dyDescent="0.25">
      <c r="L276" s="56"/>
      <c r="M276" s="56"/>
      <c r="N276" s="56"/>
      <c r="O276" s="56"/>
    </row>
    <row r="277" spans="12:15" x14ac:dyDescent="0.25">
      <c r="L277" s="56"/>
      <c r="M277" s="56"/>
      <c r="N277" s="56"/>
      <c r="O277" s="56"/>
    </row>
    <row r="278" spans="12:15" x14ac:dyDescent="0.25">
      <c r="L278" s="56"/>
      <c r="M278" s="56"/>
      <c r="N278" s="56"/>
      <c r="O278" s="56"/>
    </row>
    <row r="279" spans="12:15" x14ac:dyDescent="0.25">
      <c r="L279" s="56"/>
      <c r="M279" s="56"/>
      <c r="N279" s="56"/>
      <c r="O279" s="56"/>
    </row>
    <row r="280" spans="12:15" x14ac:dyDescent="0.25">
      <c r="L280" s="56"/>
      <c r="M280" s="56"/>
      <c r="N280" s="56"/>
      <c r="O280" s="56"/>
    </row>
    <row r="281" spans="12:15" x14ac:dyDescent="0.25">
      <c r="L281" s="56"/>
      <c r="M281" s="56"/>
      <c r="N281" s="56"/>
      <c r="O281" s="56"/>
    </row>
    <row r="282" spans="12:15" x14ac:dyDescent="0.25">
      <c r="L282" s="56"/>
      <c r="M282" s="56"/>
      <c r="N282" s="56"/>
      <c r="O282" s="56"/>
    </row>
    <row r="283" spans="12:15" x14ac:dyDescent="0.25">
      <c r="L283" s="56"/>
      <c r="M283" s="56"/>
      <c r="N283" s="56"/>
      <c r="O283" s="56"/>
    </row>
    <row r="284" spans="12:15" x14ac:dyDescent="0.25">
      <c r="L284" s="56"/>
      <c r="M284" s="56"/>
      <c r="N284" s="56"/>
      <c r="O284" s="56"/>
    </row>
    <row r="285" spans="12:15" x14ac:dyDescent="0.25">
      <c r="L285" s="56"/>
      <c r="M285" s="56"/>
      <c r="N285" s="56"/>
      <c r="O285" s="56"/>
    </row>
    <row r="286" spans="12:15" x14ac:dyDescent="0.25">
      <c r="L286" s="56"/>
      <c r="M286" s="56"/>
      <c r="N286" s="56"/>
      <c r="O286" s="56"/>
    </row>
    <row r="287" spans="12:15" x14ac:dyDescent="0.25">
      <c r="L287" s="56"/>
      <c r="M287" s="56"/>
      <c r="N287" s="56"/>
      <c r="O287" s="56"/>
    </row>
    <row r="288" spans="12:15" x14ac:dyDescent="0.25">
      <c r="L288" s="56"/>
      <c r="M288" s="56"/>
      <c r="N288" s="56"/>
      <c r="O288" s="56"/>
    </row>
    <row r="289" spans="12:15" x14ac:dyDescent="0.25">
      <c r="L289" s="56"/>
      <c r="M289" s="56"/>
      <c r="N289" s="56"/>
      <c r="O289" s="56"/>
    </row>
    <row r="290" spans="12:15" x14ac:dyDescent="0.25">
      <c r="L290" s="56"/>
      <c r="M290" s="56"/>
      <c r="N290" s="56"/>
      <c r="O290" s="56"/>
    </row>
    <row r="291" spans="12:15" x14ac:dyDescent="0.25">
      <c r="L291" s="56"/>
      <c r="M291" s="56"/>
      <c r="N291" s="56"/>
      <c r="O291" s="56"/>
    </row>
    <row r="292" spans="12:15" x14ac:dyDescent="0.25">
      <c r="L292" s="56"/>
      <c r="M292" s="56"/>
      <c r="N292" s="56"/>
      <c r="O292" s="56"/>
    </row>
    <row r="293" spans="12:15" x14ac:dyDescent="0.25">
      <c r="L293" s="56"/>
      <c r="M293" s="56"/>
      <c r="N293" s="56"/>
      <c r="O293" s="56"/>
    </row>
    <row r="294" spans="12:15" x14ac:dyDescent="0.25">
      <c r="L294" s="56"/>
      <c r="M294" s="56"/>
      <c r="N294" s="56"/>
      <c r="O294" s="56"/>
    </row>
    <row r="295" spans="12:15" x14ac:dyDescent="0.25">
      <c r="L295" s="56"/>
      <c r="M295" s="56"/>
      <c r="N295" s="56"/>
      <c r="O295" s="56"/>
    </row>
    <row r="296" spans="12:15" x14ac:dyDescent="0.25">
      <c r="L296" s="56"/>
      <c r="M296" s="56"/>
      <c r="N296" s="56"/>
      <c r="O296" s="56"/>
    </row>
    <row r="297" spans="12:15" x14ac:dyDescent="0.25">
      <c r="L297" s="56"/>
      <c r="M297" s="56"/>
      <c r="N297" s="56"/>
      <c r="O297" s="56"/>
    </row>
    <row r="298" spans="12:15" x14ac:dyDescent="0.25">
      <c r="L298" s="56"/>
      <c r="M298" s="56"/>
      <c r="N298" s="56"/>
      <c r="O298" s="56"/>
    </row>
    <row r="299" spans="12:15" x14ac:dyDescent="0.25">
      <c r="L299" s="56"/>
      <c r="M299" s="56"/>
      <c r="N299" s="56"/>
      <c r="O299" s="56"/>
    </row>
    <row r="300" spans="12:15" x14ac:dyDescent="0.25">
      <c r="L300" s="56"/>
      <c r="M300" s="56"/>
      <c r="N300" s="56"/>
      <c r="O300" s="56"/>
    </row>
    <row r="301" spans="12:15" x14ac:dyDescent="0.25">
      <c r="L301" s="56"/>
      <c r="M301" s="56"/>
      <c r="N301" s="56"/>
      <c r="O301" s="56"/>
    </row>
    <row r="302" spans="12:15" x14ac:dyDescent="0.25">
      <c r="L302" s="56"/>
      <c r="M302" s="56"/>
      <c r="N302" s="56"/>
      <c r="O302" s="56"/>
    </row>
    <row r="303" spans="12:15" x14ac:dyDescent="0.25">
      <c r="L303" s="56"/>
      <c r="M303" s="56"/>
      <c r="N303" s="56"/>
      <c r="O303" s="56"/>
    </row>
    <row r="304" spans="12:15" x14ac:dyDescent="0.25">
      <c r="L304" s="56"/>
      <c r="M304" s="56"/>
      <c r="N304" s="56"/>
      <c r="O304" s="56"/>
    </row>
    <row r="305" spans="12:15" x14ac:dyDescent="0.25">
      <c r="L305" s="56"/>
      <c r="M305" s="56"/>
      <c r="N305" s="56"/>
      <c r="O305" s="56"/>
    </row>
    <row r="306" spans="12:15" x14ac:dyDescent="0.25">
      <c r="L306" s="56"/>
      <c r="M306" s="56"/>
      <c r="N306" s="56"/>
      <c r="O306" s="56"/>
    </row>
    <row r="307" spans="12:15" x14ac:dyDescent="0.25">
      <c r="L307" s="56"/>
      <c r="M307" s="56"/>
      <c r="N307" s="56"/>
      <c r="O307" s="56"/>
    </row>
    <row r="308" spans="12:15" x14ac:dyDescent="0.25">
      <c r="L308" s="56"/>
      <c r="M308" s="56"/>
      <c r="N308" s="56"/>
      <c r="O308" s="56"/>
    </row>
    <row r="309" spans="12:15" x14ac:dyDescent="0.25">
      <c r="L309" s="56"/>
      <c r="M309" s="56"/>
      <c r="N309" s="56"/>
      <c r="O309" s="56"/>
    </row>
    <row r="310" spans="12:15" x14ac:dyDescent="0.25">
      <c r="L310" s="56"/>
      <c r="M310" s="56"/>
      <c r="N310" s="56"/>
      <c r="O310" s="56"/>
    </row>
    <row r="311" spans="12:15" x14ac:dyDescent="0.25">
      <c r="L311" s="56"/>
      <c r="M311" s="56"/>
      <c r="N311" s="56"/>
      <c r="O311" s="56"/>
    </row>
    <row r="312" spans="12:15" x14ac:dyDescent="0.25">
      <c r="L312" s="56"/>
      <c r="M312" s="56"/>
      <c r="N312" s="56"/>
      <c r="O312" s="56"/>
    </row>
    <row r="313" spans="12:15" x14ac:dyDescent="0.25">
      <c r="L313" s="56"/>
      <c r="M313" s="56"/>
      <c r="N313" s="56"/>
      <c r="O313" s="56"/>
    </row>
    <row r="314" spans="12:15" x14ac:dyDescent="0.25">
      <c r="L314" s="56"/>
      <c r="M314" s="56"/>
      <c r="N314" s="56"/>
      <c r="O314" s="56"/>
    </row>
    <row r="315" spans="12:15" x14ac:dyDescent="0.25">
      <c r="L315" s="56"/>
      <c r="M315" s="56"/>
      <c r="N315" s="56"/>
      <c r="O315" s="56"/>
    </row>
    <row r="316" spans="12:15" x14ac:dyDescent="0.25">
      <c r="L316" s="56"/>
      <c r="M316" s="56"/>
      <c r="N316" s="56"/>
      <c r="O316" s="56"/>
    </row>
    <row r="317" spans="12:15" x14ac:dyDescent="0.25">
      <c r="L317" s="56"/>
      <c r="M317" s="56"/>
      <c r="N317" s="56"/>
      <c r="O317" s="56"/>
    </row>
    <row r="318" spans="12:15" x14ac:dyDescent="0.25">
      <c r="L318" s="56"/>
      <c r="M318" s="56"/>
      <c r="N318" s="56"/>
      <c r="O318" s="56"/>
    </row>
    <row r="319" spans="12:15" x14ac:dyDescent="0.25">
      <c r="L319" s="56"/>
      <c r="M319" s="56"/>
      <c r="N319" s="56"/>
      <c r="O319" s="56"/>
    </row>
    <row r="320" spans="12:15" x14ac:dyDescent="0.25">
      <c r="L320" s="56"/>
      <c r="M320" s="56"/>
      <c r="N320" s="56"/>
      <c r="O320" s="56"/>
    </row>
    <row r="321" spans="12:15" x14ac:dyDescent="0.25">
      <c r="L321" s="56"/>
      <c r="M321" s="56"/>
      <c r="N321" s="56"/>
      <c r="O321" s="56"/>
    </row>
    <row r="322" spans="12:15" x14ac:dyDescent="0.25">
      <c r="L322" s="56"/>
      <c r="M322" s="56"/>
      <c r="N322" s="56"/>
      <c r="O322" s="56"/>
    </row>
    <row r="323" spans="12:15" x14ac:dyDescent="0.25">
      <c r="L323" s="56"/>
      <c r="M323" s="56"/>
      <c r="N323" s="56"/>
      <c r="O323" s="56"/>
    </row>
    <row r="324" spans="12:15" x14ac:dyDescent="0.25">
      <c r="L324" s="56"/>
      <c r="M324" s="56"/>
      <c r="N324" s="56"/>
      <c r="O324" s="56"/>
    </row>
    <row r="325" spans="12:15" x14ac:dyDescent="0.25">
      <c r="L325" s="56"/>
      <c r="M325" s="56"/>
      <c r="N325" s="56"/>
      <c r="O325" s="56"/>
    </row>
    <row r="326" spans="12:15" x14ac:dyDescent="0.25">
      <c r="L326" s="56"/>
      <c r="M326" s="56"/>
      <c r="N326" s="56"/>
      <c r="O326" s="56"/>
    </row>
    <row r="327" spans="12:15" x14ac:dyDescent="0.25">
      <c r="L327" s="56"/>
      <c r="M327" s="56"/>
      <c r="N327" s="56"/>
      <c r="O327" s="56"/>
    </row>
    <row r="328" spans="12:15" x14ac:dyDescent="0.25">
      <c r="L328" s="56"/>
      <c r="M328" s="56"/>
      <c r="N328" s="56"/>
      <c r="O328" s="56"/>
    </row>
    <row r="329" spans="12:15" x14ac:dyDescent="0.25">
      <c r="L329" s="56"/>
      <c r="M329" s="56"/>
      <c r="N329" s="56"/>
      <c r="O329" s="56"/>
    </row>
    <row r="330" spans="12:15" x14ac:dyDescent="0.25">
      <c r="L330" s="56"/>
      <c r="M330" s="56"/>
      <c r="N330" s="56"/>
      <c r="O330" s="56"/>
    </row>
    <row r="331" spans="12:15" x14ac:dyDescent="0.25">
      <c r="L331" s="56"/>
      <c r="M331" s="56"/>
      <c r="N331" s="56"/>
      <c r="O331" s="56"/>
    </row>
    <row r="332" spans="12:15" x14ac:dyDescent="0.25">
      <c r="L332" s="56"/>
      <c r="M332" s="56"/>
      <c r="N332" s="56"/>
      <c r="O332" s="56"/>
    </row>
    <row r="333" spans="12:15" x14ac:dyDescent="0.25">
      <c r="L333" s="56"/>
      <c r="M333" s="56"/>
      <c r="N333" s="56"/>
      <c r="O333" s="56"/>
    </row>
    <row r="334" spans="12:15" x14ac:dyDescent="0.25">
      <c r="L334" s="56"/>
      <c r="M334" s="56"/>
      <c r="N334" s="56"/>
      <c r="O334" s="56"/>
    </row>
    <row r="335" spans="12:15" x14ac:dyDescent="0.25">
      <c r="L335" s="56"/>
      <c r="M335" s="56"/>
      <c r="N335" s="56"/>
      <c r="O335" s="56"/>
    </row>
    <row r="336" spans="12:15" x14ac:dyDescent="0.25">
      <c r="L336" s="56"/>
      <c r="M336" s="56"/>
      <c r="N336" s="56"/>
      <c r="O336" s="56"/>
    </row>
    <row r="337" spans="12:15" x14ac:dyDescent="0.25">
      <c r="L337" s="56"/>
      <c r="M337" s="56"/>
      <c r="N337" s="56"/>
      <c r="O337" s="56"/>
    </row>
    <row r="338" spans="12:15" x14ac:dyDescent="0.25">
      <c r="L338" s="56"/>
      <c r="M338" s="56"/>
      <c r="N338" s="56"/>
      <c r="O338" s="56"/>
    </row>
    <row r="339" spans="12:15" x14ac:dyDescent="0.25">
      <c r="L339" s="56"/>
      <c r="M339" s="56"/>
      <c r="N339" s="56"/>
      <c r="O339" s="56"/>
    </row>
    <row r="340" spans="12:15" x14ac:dyDescent="0.25">
      <c r="L340" s="56"/>
      <c r="M340" s="56"/>
      <c r="N340" s="56"/>
      <c r="O340" s="56"/>
    </row>
    <row r="341" spans="12:15" x14ac:dyDescent="0.25">
      <c r="L341" s="56"/>
      <c r="M341" s="56"/>
      <c r="N341" s="56"/>
      <c r="O341" s="56"/>
    </row>
    <row r="342" spans="12:15" x14ac:dyDescent="0.25">
      <c r="L342" s="56"/>
      <c r="M342" s="56"/>
      <c r="N342" s="56"/>
      <c r="O342" s="56"/>
    </row>
    <row r="343" spans="12:15" x14ac:dyDescent="0.25">
      <c r="L343" s="56"/>
      <c r="M343" s="56"/>
      <c r="N343" s="56"/>
      <c r="O343" s="56"/>
    </row>
    <row r="344" spans="12:15" x14ac:dyDescent="0.25">
      <c r="L344" s="56"/>
      <c r="M344" s="56"/>
      <c r="N344" s="56"/>
      <c r="O344" s="56"/>
    </row>
    <row r="345" spans="12:15" x14ac:dyDescent="0.25">
      <c r="L345" s="56"/>
      <c r="M345" s="56"/>
      <c r="N345" s="56"/>
      <c r="O345" s="56"/>
    </row>
    <row r="346" spans="12:15" x14ac:dyDescent="0.25">
      <c r="L346" s="56"/>
      <c r="M346" s="56"/>
      <c r="N346" s="56"/>
      <c r="O346" s="56"/>
    </row>
    <row r="347" spans="12:15" x14ac:dyDescent="0.25">
      <c r="L347" s="56"/>
      <c r="M347" s="56"/>
      <c r="N347" s="56"/>
      <c r="O347" s="56"/>
    </row>
    <row r="348" spans="12:15" x14ac:dyDescent="0.25">
      <c r="L348" s="56"/>
      <c r="M348" s="56"/>
      <c r="N348" s="56"/>
      <c r="O348" s="56"/>
    </row>
    <row r="349" spans="12:15" x14ac:dyDescent="0.25">
      <c r="L349" s="56"/>
      <c r="M349" s="56"/>
      <c r="N349" s="56"/>
      <c r="O349" s="56"/>
    </row>
    <row r="350" spans="12:15" x14ac:dyDescent="0.25">
      <c r="L350" s="56"/>
      <c r="M350" s="56"/>
      <c r="N350" s="56"/>
      <c r="O350" s="56"/>
    </row>
    <row r="351" spans="12:15" x14ac:dyDescent="0.25">
      <c r="L351" s="56"/>
      <c r="M351" s="56"/>
      <c r="N351" s="56"/>
      <c r="O351" s="56"/>
    </row>
    <row r="352" spans="12:15" x14ac:dyDescent="0.25">
      <c r="L352" s="56"/>
      <c r="M352" s="56"/>
      <c r="N352" s="56"/>
      <c r="O352" s="56"/>
    </row>
    <row r="353" spans="12:15" x14ac:dyDescent="0.25">
      <c r="L353" s="56"/>
      <c r="M353" s="56"/>
      <c r="N353" s="56"/>
      <c r="O353" s="56"/>
    </row>
    <row r="354" spans="12:15" x14ac:dyDescent="0.25">
      <c r="L354" s="56"/>
      <c r="M354" s="56"/>
      <c r="N354" s="56"/>
      <c r="O354" s="56"/>
    </row>
    <row r="355" spans="12:15" x14ac:dyDescent="0.25">
      <c r="L355" s="56"/>
      <c r="M355" s="56"/>
      <c r="N355" s="56"/>
      <c r="O355" s="56"/>
    </row>
    <row r="356" spans="12:15" x14ac:dyDescent="0.25">
      <c r="L356" s="56"/>
      <c r="M356" s="56"/>
      <c r="N356" s="56"/>
      <c r="O356" s="56"/>
    </row>
    <row r="357" spans="12:15" x14ac:dyDescent="0.25">
      <c r="L357" s="56"/>
      <c r="M357" s="56"/>
      <c r="N357" s="56"/>
      <c r="O357" s="56"/>
    </row>
    <row r="358" spans="12:15" x14ac:dyDescent="0.25">
      <c r="L358" s="56"/>
      <c r="M358" s="56"/>
      <c r="N358" s="56"/>
      <c r="O358" s="56"/>
    </row>
    <row r="359" spans="12:15" x14ac:dyDescent="0.25">
      <c r="L359" s="56"/>
      <c r="M359" s="56"/>
      <c r="N359" s="56"/>
      <c r="O359" s="56"/>
    </row>
    <row r="360" spans="12:15" x14ac:dyDescent="0.25">
      <c r="L360" s="56"/>
      <c r="M360" s="56"/>
      <c r="N360" s="56"/>
      <c r="O360" s="56"/>
    </row>
    <row r="361" spans="12:15" x14ac:dyDescent="0.25">
      <c r="L361" s="56"/>
      <c r="M361" s="56"/>
      <c r="N361" s="56"/>
      <c r="O361" s="56"/>
    </row>
    <row r="362" spans="12:15" x14ac:dyDescent="0.25">
      <c r="L362" s="56"/>
      <c r="M362" s="56"/>
      <c r="N362" s="56"/>
      <c r="O362" s="56"/>
    </row>
    <row r="363" spans="12:15" x14ac:dyDescent="0.25">
      <c r="L363" s="56"/>
      <c r="M363" s="56"/>
      <c r="N363" s="56"/>
      <c r="O363" s="56"/>
    </row>
    <row r="364" spans="12:15" x14ac:dyDescent="0.25">
      <c r="L364" s="56"/>
      <c r="M364" s="56"/>
      <c r="N364" s="56"/>
      <c r="O364" s="56"/>
    </row>
    <row r="365" spans="12:15" x14ac:dyDescent="0.25">
      <c r="L365" s="56"/>
      <c r="M365" s="56"/>
      <c r="N365" s="56"/>
      <c r="O365" s="56"/>
    </row>
    <row r="366" spans="12:15" x14ac:dyDescent="0.25">
      <c r="L366" s="56"/>
      <c r="M366" s="56"/>
      <c r="N366" s="56"/>
      <c r="O366" s="56"/>
    </row>
    <row r="367" spans="12:15" x14ac:dyDescent="0.25">
      <c r="L367" s="56"/>
      <c r="M367" s="56"/>
      <c r="N367" s="56"/>
      <c r="O367" s="56"/>
    </row>
    <row r="368" spans="12:15" x14ac:dyDescent="0.25">
      <c r="L368" s="56"/>
      <c r="M368" s="56"/>
      <c r="N368" s="56"/>
      <c r="O368" s="56"/>
    </row>
    <row r="369" spans="12:15" x14ac:dyDescent="0.25">
      <c r="L369" s="56"/>
      <c r="M369" s="56"/>
      <c r="N369" s="56"/>
      <c r="O369" s="56"/>
    </row>
    <row r="370" spans="12:15" x14ac:dyDescent="0.25">
      <c r="L370" s="56"/>
      <c r="M370" s="56"/>
      <c r="N370" s="56"/>
      <c r="O370" s="56"/>
    </row>
    <row r="371" spans="12:15" x14ac:dyDescent="0.25">
      <c r="L371" s="56"/>
      <c r="M371" s="56"/>
      <c r="N371" s="56"/>
      <c r="O371" s="56"/>
    </row>
    <row r="372" spans="12:15" x14ac:dyDescent="0.25">
      <c r="L372" s="56"/>
      <c r="M372" s="56"/>
      <c r="N372" s="56"/>
      <c r="O372" s="56"/>
    </row>
    <row r="373" spans="12:15" x14ac:dyDescent="0.25">
      <c r="L373" s="56"/>
      <c r="M373" s="56"/>
      <c r="N373" s="56"/>
      <c r="O373" s="56"/>
    </row>
    <row r="374" spans="12:15" x14ac:dyDescent="0.25">
      <c r="L374" s="56"/>
      <c r="M374" s="56"/>
      <c r="N374" s="56"/>
      <c r="O374" s="56"/>
    </row>
    <row r="375" spans="12:15" x14ac:dyDescent="0.25">
      <c r="L375" s="56"/>
      <c r="M375" s="56"/>
      <c r="N375" s="56"/>
      <c r="O375" s="56"/>
    </row>
    <row r="376" spans="12:15" x14ac:dyDescent="0.25">
      <c r="L376" s="56"/>
      <c r="M376" s="56"/>
      <c r="N376" s="56"/>
      <c r="O376" s="56"/>
    </row>
    <row r="377" spans="12:15" x14ac:dyDescent="0.25">
      <c r="L377" s="56"/>
      <c r="M377" s="56"/>
      <c r="N377" s="56"/>
      <c r="O377" s="56"/>
    </row>
    <row r="378" spans="12:15" x14ac:dyDescent="0.25">
      <c r="L378" s="56"/>
      <c r="M378" s="56"/>
      <c r="N378" s="56"/>
      <c r="O378" s="56"/>
    </row>
    <row r="379" spans="12:15" x14ac:dyDescent="0.25">
      <c r="L379" s="56"/>
      <c r="M379" s="56"/>
      <c r="N379" s="56"/>
      <c r="O379" s="56"/>
    </row>
    <row r="380" spans="12:15" x14ac:dyDescent="0.25">
      <c r="L380" s="56"/>
      <c r="M380" s="56"/>
      <c r="N380" s="56"/>
      <c r="O380" s="56"/>
    </row>
    <row r="381" spans="12:15" x14ac:dyDescent="0.25">
      <c r="L381" s="56"/>
      <c r="M381" s="56"/>
      <c r="N381" s="56"/>
      <c r="O381" s="56"/>
    </row>
    <row r="382" spans="12:15" x14ac:dyDescent="0.25">
      <c r="L382" s="56"/>
      <c r="M382" s="56"/>
      <c r="N382" s="56"/>
      <c r="O382" s="56"/>
    </row>
    <row r="383" spans="12:15" x14ac:dyDescent="0.25">
      <c r="L383" s="56"/>
      <c r="M383" s="56"/>
      <c r="N383" s="56"/>
      <c r="O383" s="56"/>
    </row>
    <row r="384" spans="12:15" x14ac:dyDescent="0.25">
      <c r="L384" s="56"/>
      <c r="M384" s="56"/>
      <c r="N384" s="56"/>
      <c r="O384" s="56"/>
    </row>
    <row r="385" spans="12:15" x14ac:dyDescent="0.25">
      <c r="L385" s="56"/>
      <c r="M385" s="56"/>
      <c r="N385" s="56"/>
      <c r="O385" s="56"/>
    </row>
    <row r="386" spans="12:15" x14ac:dyDescent="0.25">
      <c r="L386" s="56"/>
      <c r="M386" s="56"/>
      <c r="N386" s="56"/>
      <c r="O386" s="56"/>
    </row>
    <row r="387" spans="12:15" x14ac:dyDescent="0.25">
      <c r="L387" s="56"/>
      <c r="M387" s="56"/>
      <c r="N387" s="56"/>
      <c r="O387" s="56"/>
    </row>
    <row r="388" spans="12:15" x14ac:dyDescent="0.25">
      <c r="L388" s="56"/>
      <c r="M388" s="56"/>
      <c r="N388" s="56"/>
      <c r="O388" s="56"/>
    </row>
    <row r="389" spans="12:15" x14ac:dyDescent="0.25">
      <c r="L389" s="56"/>
      <c r="M389" s="56"/>
      <c r="N389" s="56"/>
      <c r="O389" s="56"/>
    </row>
    <row r="390" spans="12:15" x14ac:dyDescent="0.25">
      <c r="L390" s="56"/>
      <c r="M390" s="56"/>
      <c r="N390" s="56"/>
      <c r="O390" s="56"/>
    </row>
    <row r="391" spans="12:15" x14ac:dyDescent="0.25">
      <c r="L391" s="56"/>
      <c r="M391" s="56"/>
      <c r="N391" s="56"/>
      <c r="O391" s="56"/>
    </row>
    <row r="392" spans="12:15" x14ac:dyDescent="0.25">
      <c r="L392" s="56"/>
      <c r="M392" s="56"/>
      <c r="N392" s="56"/>
      <c r="O392" s="56"/>
    </row>
    <row r="393" spans="12:15" x14ac:dyDescent="0.25">
      <c r="L393" s="56"/>
      <c r="M393" s="56"/>
      <c r="N393" s="56"/>
      <c r="O393" s="56"/>
    </row>
    <row r="394" spans="12:15" x14ac:dyDescent="0.25">
      <c r="L394" s="56"/>
      <c r="M394" s="56"/>
      <c r="N394" s="56"/>
      <c r="O394" s="56"/>
    </row>
    <row r="395" spans="12:15" x14ac:dyDescent="0.25">
      <c r="L395" s="56"/>
      <c r="M395" s="56"/>
      <c r="N395" s="56"/>
      <c r="O395" s="56"/>
    </row>
    <row r="396" spans="12:15" x14ac:dyDescent="0.25">
      <c r="L396" s="56"/>
      <c r="M396" s="56"/>
      <c r="N396" s="56"/>
      <c r="O396" s="56"/>
    </row>
    <row r="397" spans="12:15" x14ac:dyDescent="0.25">
      <c r="L397" s="56"/>
      <c r="M397" s="56"/>
      <c r="N397" s="56"/>
      <c r="O397" s="56"/>
    </row>
    <row r="398" spans="12:15" x14ac:dyDescent="0.25">
      <c r="L398" s="56"/>
      <c r="M398" s="56"/>
      <c r="N398" s="56"/>
      <c r="O398" s="56"/>
    </row>
    <row r="399" spans="12:15" x14ac:dyDescent="0.25">
      <c r="L399" s="56"/>
      <c r="M399" s="56"/>
      <c r="N399" s="56"/>
      <c r="O399" s="56"/>
    </row>
    <row r="400" spans="12:15" x14ac:dyDescent="0.25">
      <c r="L400" s="56"/>
      <c r="M400" s="56"/>
      <c r="N400" s="56"/>
      <c r="O400" s="56"/>
    </row>
    <row r="401" spans="12:15" x14ac:dyDescent="0.25">
      <c r="L401" s="56"/>
      <c r="M401" s="56"/>
      <c r="N401" s="56"/>
      <c r="O401" s="56"/>
    </row>
  </sheetData>
  <sheetProtection password="8D33" sheet="1" objects="1" scenarios="1" selectLockedCells="1"/>
  <mergeCells count="13">
    <mergeCell ref="J39:K39"/>
    <mergeCell ref="B2:P4"/>
    <mergeCell ref="C21:D21"/>
    <mergeCell ref="C19:D19"/>
    <mergeCell ref="L39:O39"/>
    <mergeCell ref="C31:D31"/>
    <mergeCell ref="B10:E15"/>
    <mergeCell ref="G39:I39"/>
    <mergeCell ref="D42:G42"/>
    <mergeCell ref="H42:J42"/>
    <mergeCell ref="M42:N42"/>
    <mergeCell ref="B42:C42"/>
    <mergeCell ref="G40:H40"/>
  </mergeCells>
  <dataValidations xWindow="886" yWindow="239" count="6">
    <dataValidation type="decimal" errorStyle="information" allowBlank="1" showInputMessage="1" showErrorMessage="1" errorTitle="Term in years" error="Please enter a value between 3 and 25 years" promptTitle="Term in years" prompt="Please enter a value between 3 and 25 years." sqref="C30">
      <formula1>3</formula1>
      <formula2>25</formula2>
    </dataValidation>
    <dataValidation type="decimal" errorStyle="information" allowBlank="1" showInputMessage="1" showErrorMessage="1" errorTitle="Growth Rate Percentage" error="Please enter a value between 2.5 and 15" promptTitle="Growth Rate %" prompt="Please enter a value between 2.5 and 15" sqref="C29">
      <formula1>2.5</formula1>
      <formula2>15</formula2>
    </dataValidation>
    <dataValidation type="textLength" showInputMessage="1" showErrorMessage="1" sqref="C21:C23">
      <formula1>1</formula1>
      <formula2>20</formula2>
    </dataValidation>
    <dataValidation type="textLength" operator="lessThan" showInputMessage="1" showErrorMessage="1" sqref="C19">
      <formula1>30</formula1>
    </dataValidation>
    <dataValidation type="decimal" errorStyle="information" allowBlank="1" showInputMessage="1" showErrorMessage="1" errorTitle="Growth Rate Percentage" error="Please enter a value between 0 and 5" promptTitle="Bid/Offer Spread %" prompt="Please enter a value between 0 and 5" sqref="C35">
      <formula1>0</formula1>
      <formula2>5</formula2>
    </dataValidation>
    <dataValidation type="list" allowBlank="1" showInputMessage="1" showErrorMessage="1" sqref="C31:D31">
      <formula1>$AE$44:$AE$51</formula1>
    </dataValidation>
  </dataValidations>
  <pageMargins left="0.23622047244094491" right="0.23622047244094491" top="0.74803149606299213" bottom="0.74803149606299213" header="0.31496062992125984" footer="0.31496062992125984"/>
  <pageSetup paperSize="9" orientation="landscape" r:id="rId1"/>
  <headerFooter>
    <oddHeader>&amp;CExpat Money Expert planning tool</oddHeader>
    <oddFooter xml:space="preserve">&amp;C© Expat Money Expert 2014                          </oddFooter>
  </headerFooter>
  <rowBreaks count="3" manualBreakCount="3">
    <brk id="42" max="16" man="1"/>
    <brk id="75" max="16" man="1"/>
    <brk id="115"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32</xdr:row>
                    <xdr:rowOff>104775</xdr:rowOff>
                  </from>
                  <to>
                    <xdr:col>2</xdr:col>
                    <xdr:colOff>9525</xdr:colOff>
                    <xdr:row>34</xdr:row>
                    <xdr:rowOff>9525</xdr:rowOff>
                  </to>
                </anchor>
              </controlPr>
            </control>
          </mc:Choice>
        </mc:AlternateContent>
        <mc:AlternateContent xmlns:mc="http://schemas.openxmlformats.org/markup-compatibility/2006">
          <mc:Choice Requires="x14">
            <control shapeId="1032" r:id="rId5" name="List Box 8">
              <controlPr defaultSize="0" autoLine="0" autoPict="0" macro="[0]!ListBox8_Change">
                <anchor moveWithCells="1">
                  <from>
                    <xdr:col>1</xdr:col>
                    <xdr:colOff>85725</xdr:colOff>
                    <xdr:row>24</xdr:row>
                    <xdr:rowOff>9525</xdr:rowOff>
                  </from>
                  <to>
                    <xdr:col>2</xdr:col>
                    <xdr:colOff>0</xdr:colOff>
                    <xdr:row>25</xdr:row>
                    <xdr:rowOff>142875</xdr:rowOff>
                  </to>
                </anchor>
              </controlPr>
            </control>
          </mc:Choice>
        </mc:AlternateContent>
        <mc:AlternateContent xmlns:mc="http://schemas.openxmlformats.org/markup-compatibility/2006">
          <mc:Choice Requires="x14">
            <control shapeId="1033" r:id="rId6" name="List Box 9">
              <controlPr defaultSize="0" autoLine="0" autoPict="0" macro="[0]!ListBox8_Change">
                <anchor moveWithCells="1">
                  <from>
                    <xdr:col>2</xdr:col>
                    <xdr:colOff>257175</xdr:colOff>
                    <xdr:row>24</xdr:row>
                    <xdr:rowOff>9525</xdr:rowOff>
                  </from>
                  <to>
                    <xdr:col>4</xdr:col>
                    <xdr:colOff>47625</xdr:colOff>
                    <xdr:row>25</xdr:row>
                    <xdr:rowOff>142875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9525</xdr:colOff>
                    <xdr:row>34</xdr:row>
                    <xdr:rowOff>28575</xdr:rowOff>
                  </from>
                  <to>
                    <xdr:col>2</xdr:col>
                    <xdr:colOff>0</xdr:colOff>
                    <xdr:row>35</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86" yWindow="239" count="1">
        <x14:dataValidation type="list" allowBlank="1" showInputMessage="1" showErrorMessage="1">
          <x14:formula1>
            <xm:f>Calc_sheet!$G$49:$G$56</xm:f>
          </x14:formula1>
          <xm:sqref>C31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AV83"/>
  <sheetViews>
    <sheetView topLeftCell="AG1" workbookViewId="0">
      <selection activeCell="AM47" sqref="AM47"/>
    </sheetView>
  </sheetViews>
  <sheetFormatPr defaultColWidth="8.85546875" defaultRowHeight="15" x14ac:dyDescent="0.25"/>
  <cols>
    <col min="1" max="1" width="14.7109375" style="74" customWidth="1"/>
    <col min="2" max="2" width="7.42578125" style="74" customWidth="1"/>
    <col min="3" max="3" width="8.7109375" style="74" customWidth="1"/>
    <col min="4" max="4" width="10.28515625" style="74" customWidth="1"/>
    <col min="5" max="5" width="6.7109375" style="75" customWidth="1"/>
    <col min="6" max="6" width="8" style="74" customWidth="1"/>
    <col min="7" max="7" width="9.140625" style="74" customWidth="1"/>
    <col min="8" max="8" width="15.140625" style="75" customWidth="1"/>
    <col min="9" max="9" width="15.42578125" style="75" customWidth="1"/>
    <col min="10" max="20" width="13.140625" style="75" customWidth="1"/>
    <col min="21" max="21" width="10" style="74" customWidth="1"/>
    <col min="22" max="22" width="8.42578125" style="74" customWidth="1"/>
    <col min="23" max="23" width="12.42578125" style="74" customWidth="1"/>
    <col min="24" max="24" width="12.28515625" style="74" customWidth="1"/>
    <col min="25" max="25" width="8.42578125" style="75" customWidth="1"/>
    <col min="26" max="26" width="8.28515625" style="76" customWidth="1"/>
    <col min="27" max="28" width="7.140625" style="74" customWidth="1"/>
    <col min="29" max="29" width="24.85546875" style="74" customWidth="1"/>
    <col min="30" max="30" width="15.42578125" style="74" bestFit="1" customWidth="1"/>
    <col min="31" max="31" width="15.85546875" style="74" customWidth="1"/>
    <col min="32" max="33" width="13.85546875" style="74" bestFit="1" customWidth="1"/>
    <col min="34" max="34" width="9.42578125" style="74" bestFit="1" customWidth="1"/>
    <col min="35" max="36" width="15.42578125" style="74" customWidth="1"/>
    <col min="37" max="37" width="14.42578125" style="74" customWidth="1"/>
    <col min="38" max="38" width="11.28515625" style="74" bestFit="1" customWidth="1"/>
    <col min="39" max="44" width="8.85546875" style="74"/>
    <col min="45" max="45" width="10.140625" style="74" bestFit="1" customWidth="1"/>
    <col min="46" max="46" width="15.140625" style="74" customWidth="1"/>
    <col min="47" max="47" width="14.85546875" style="74" customWidth="1"/>
    <col min="48" max="48" width="13.42578125" style="74" customWidth="1"/>
    <col min="49" max="16384" width="8.85546875" style="74"/>
  </cols>
  <sheetData>
    <row r="1" spans="1:32" x14ac:dyDescent="0.25">
      <c r="B1" s="152" t="s">
        <v>26</v>
      </c>
      <c r="C1" s="152"/>
      <c r="D1" s="152"/>
      <c r="E1" s="152"/>
      <c r="F1" s="152"/>
      <c r="G1" s="153"/>
      <c r="H1" s="153"/>
      <c r="I1" s="83"/>
      <c r="J1" s="83"/>
      <c r="K1" s="83"/>
      <c r="L1" s="83"/>
      <c r="M1" s="83"/>
      <c r="N1" s="83"/>
      <c r="O1" s="83"/>
      <c r="P1" s="83"/>
      <c r="Q1" s="83"/>
      <c r="R1" s="83"/>
      <c r="S1" s="83"/>
      <c r="T1" s="152" t="s">
        <v>51</v>
      </c>
      <c r="U1" s="153"/>
      <c r="V1" s="153"/>
      <c r="W1" s="153"/>
      <c r="X1" s="83"/>
      <c r="Y1" s="152" t="s">
        <v>27</v>
      </c>
      <c r="Z1" s="153"/>
      <c r="AA1" s="153"/>
      <c r="AB1" s="153"/>
    </row>
    <row r="2" spans="1:32" s="73" customFormat="1" ht="85.5" customHeight="1" x14ac:dyDescent="0.25">
      <c r="B2" s="72" t="s">
        <v>0</v>
      </c>
      <c r="C2" s="72" t="s">
        <v>1</v>
      </c>
      <c r="D2" s="73" t="s">
        <v>16</v>
      </c>
      <c r="E2" s="73" t="s">
        <v>24</v>
      </c>
      <c r="F2" s="73" t="s">
        <v>2</v>
      </c>
      <c r="H2" s="72" t="s">
        <v>18</v>
      </c>
      <c r="I2" s="73" t="s">
        <v>34</v>
      </c>
      <c r="J2" s="73" t="s">
        <v>35</v>
      </c>
      <c r="K2" s="73" t="s">
        <v>36</v>
      </c>
      <c r="L2" s="73" t="s">
        <v>37</v>
      </c>
      <c r="M2" s="73" t="s">
        <v>38</v>
      </c>
      <c r="N2" s="73" t="s">
        <v>39</v>
      </c>
      <c r="O2" s="73" t="s">
        <v>40</v>
      </c>
      <c r="P2" s="73" t="s">
        <v>41</v>
      </c>
      <c r="Q2" s="73" t="s">
        <v>42</v>
      </c>
      <c r="R2" s="73" t="s">
        <v>43</v>
      </c>
      <c r="S2" s="73" t="s">
        <v>44</v>
      </c>
      <c r="T2" s="73" t="s">
        <v>5</v>
      </c>
      <c r="U2" s="73" t="s">
        <v>30</v>
      </c>
      <c r="V2" s="73" t="s">
        <v>31</v>
      </c>
      <c r="W2" s="73" t="s">
        <v>16</v>
      </c>
      <c r="X2" s="73" t="s">
        <v>33</v>
      </c>
      <c r="Y2" s="72" t="s">
        <v>7</v>
      </c>
      <c r="Z2" s="73" t="s">
        <v>3</v>
      </c>
      <c r="AA2" s="73" t="s">
        <v>4</v>
      </c>
      <c r="AB2" s="73" t="s">
        <v>28</v>
      </c>
    </row>
    <row r="3" spans="1:32" x14ac:dyDescent="0.25">
      <c r="B3" s="75"/>
    </row>
    <row r="4" spans="1:32" x14ac:dyDescent="0.25">
      <c r="A4" s="74" t="s">
        <v>108</v>
      </c>
      <c r="B4" s="75">
        <v>100</v>
      </c>
      <c r="C4" s="74">
        <v>0</v>
      </c>
      <c r="E4" s="75">
        <v>1</v>
      </c>
      <c r="F4" s="74">
        <v>0.3</v>
      </c>
      <c r="G4" s="74" t="s">
        <v>22</v>
      </c>
      <c r="H4" s="75">
        <v>0.9</v>
      </c>
      <c r="I4" s="75">
        <f>($F$4*POWER(1+(1/100),12))+$H$4</f>
        <v>1.2380475090395908</v>
      </c>
      <c r="J4" s="75">
        <f t="shared" ref="J4:S4" si="0">($F$4*POWER(1+(1/100),12))+$H$4</f>
        <v>1.2380475090395908</v>
      </c>
      <c r="K4" s="75">
        <f t="shared" si="0"/>
        <v>1.2380475090395908</v>
      </c>
      <c r="L4" s="75">
        <f t="shared" si="0"/>
        <v>1.2380475090395908</v>
      </c>
      <c r="M4" s="75">
        <f t="shared" si="0"/>
        <v>1.2380475090395908</v>
      </c>
      <c r="N4" s="75">
        <f t="shared" si="0"/>
        <v>1.2380475090395908</v>
      </c>
      <c r="O4" s="75">
        <f t="shared" si="0"/>
        <v>1.2380475090395908</v>
      </c>
      <c r="P4" s="75">
        <f t="shared" si="0"/>
        <v>1.2380475090395908</v>
      </c>
      <c r="Q4" s="75">
        <f t="shared" si="0"/>
        <v>1.2380475090395908</v>
      </c>
      <c r="R4" s="75">
        <f t="shared" si="0"/>
        <v>1.2380475090395908</v>
      </c>
      <c r="S4" s="75">
        <f t="shared" si="0"/>
        <v>1.2380475090395908</v>
      </c>
      <c r="T4" s="75" t="s">
        <v>6</v>
      </c>
      <c r="U4" s="74">
        <f>48/1.2</f>
        <v>40</v>
      </c>
      <c r="V4" s="74">
        <v>0</v>
      </c>
      <c r="W4" s="74" t="s">
        <v>22</v>
      </c>
      <c r="X4" s="88">
        <f>(((U4+V4)*POWER(1+(1/100),12)))</f>
        <v>45.073001205278793</v>
      </c>
      <c r="Y4" s="75" t="s">
        <v>8</v>
      </c>
      <c r="Z4" s="76">
        <v>0</v>
      </c>
      <c r="AA4" s="74">
        <f>$A$38*2</f>
        <v>0</v>
      </c>
      <c r="AB4" s="74">
        <f>IF(Y4="%",$A$39*Z4%*AA4,AA4*Z4)</f>
        <v>0</v>
      </c>
      <c r="AC4" s="74" t="str">
        <f>A4</f>
        <v>Hallmark</v>
      </c>
      <c r="AF4" s="75"/>
    </row>
    <row r="5" spans="1:32" x14ac:dyDescent="0.25">
      <c r="A5" s="74" t="s">
        <v>122</v>
      </c>
      <c r="B5" s="75">
        <f>IF(C21&gt;14999,105,IF(C21&gt;9999,104,IF(C21&gt;7199,103,IF(C21&gt;5399,102,IF(C21&gt;3599,101,100)))))</f>
        <v>104</v>
      </c>
      <c r="F5" s="74">
        <v>1.5</v>
      </c>
      <c r="G5" s="74" t="s">
        <v>22</v>
      </c>
      <c r="H5" s="75">
        <v>0.9</v>
      </c>
      <c r="I5" s="75">
        <f>(($F$5)*POWER(1+(1/100),12))+$H$5</f>
        <v>2.5902375451979545</v>
      </c>
      <c r="J5" s="75">
        <f t="shared" ref="J5:S5" si="1">(($F$5)*POWER(1+(1/100),12))+$H$5</f>
        <v>2.5902375451979545</v>
      </c>
      <c r="K5" s="75">
        <f t="shared" si="1"/>
        <v>2.5902375451979545</v>
      </c>
      <c r="L5" s="75">
        <f t="shared" si="1"/>
        <v>2.5902375451979545</v>
      </c>
      <c r="M5" s="75">
        <f t="shared" si="1"/>
        <v>2.5902375451979545</v>
      </c>
      <c r="N5" s="75">
        <f t="shared" si="1"/>
        <v>2.5902375451979545</v>
      </c>
      <c r="O5" s="75">
        <f t="shared" si="1"/>
        <v>2.5902375451979545</v>
      </c>
      <c r="P5" s="75">
        <f t="shared" si="1"/>
        <v>2.5902375451979545</v>
      </c>
      <c r="Q5" s="75">
        <f t="shared" si="1"/>
        <v>2.5902375451979545</v>
      </c>
      <c r="R5" s="75">
        <f t="shared" si="1"/>
        <v>2.5902375451979545</v>
      </c>
      <c r="S5" s="75">
        <f t="shared" si="1"/>
        <v>2.5902375451979545</v>
      </c>
      <c r="X5" s="88"/>
      <c r="AC5" s="74" t="str">
        <f t="shared" ref="AC5:AC14" si="2">A5</f>
        <v>Generali&lt;2</v>
      </c>
      <c r="AF5" s="75"/>
    </row>
    <row r="6" spans="1:32" x14ac:dyDescent="0.25">
      <c r="A6" s="74" t="s">
        <v>121</v>
      </c>
      <c r="B6" s="75">
        <f>IF(C21&gt;14999,105,IF(C21&gt;9999,104,IF(C21&gt;7199,103,IF(C21&gt;5399,102,IF(C21&gt;3599,101,100)))))</f>
        <v>104</v>
      </c>
      <c r="F6" s="74">
        <v>1.5</v>
      </c>
      <c r="G6" s="74" t="s">
        <v>22</v>
      </c>
      <c r="H6" s="75">
        <v>0.9</v>
      </c>
      <c r="K6" s="75">
        <f>(($F$6)*POWER(1+(1/100),12))+$H$6</f>
        <v>2.5902375451979545</v>
      </c>
      <c r="L6" s="75">
        <f t="shared" ref="L6:S6" si="3">(($F$6)*POWER(1+(1/100),12))+$H$6</f>
        <v>2.5902375451979545</v>
      </c>
      <c r="M6" s="75">
        <f t="shared" si="3"/>
        <v>2.5902375451979545</v>
      </c>
      <c r="N6" s="75">
        <f t="shared" si="3"/>
        <v>2.5902375451979545</v>
      </c>
      <c r="O6" s="75">
        <f t="shared" si="3"/>
        <v>2.5902375451979545</v>
      </c>
      <c r="P6" s="75">
        <f t="shared" si="3"/>
        <v>2.5902375451979545</v>
      </c>
      <c r="Q6" s="75">
        <f t="shared" si="3"/>
        <v>2.5902375451979545</v>
      </c>
      <c r="R6" s="75">
        <f t="shared" si="3"/>
        <v>2.5902375451979545</v>
      </c>
      <c r="S6" s="75">
        <f t="shared" si="3"/>
        <v>2.5902375451979545</v>
      </c>
      <c r="T6" s="75" t="s">
        <v>19</v>
      </c>
      <c r="U6" s="74">
        <f>3*12</f>
        <v>36</v>
      </c>
      <c r="W6" s="74" t="s">
        <v>22</v>
      </c>
      <c r="X6" s="88">
        <f t="shared" ref="X6" si="4">(((U6+V6)*POWER(1+(1/100),12)))</f>
        <v>40.565701084750913</v>
      </c>
      <c r="Y6" s="75" t="s">
        <v>6</v>
      </c>
      <c r="Z6" s="76">
        <v>50</v>
      </c>
      <c r="AA6" s="74">
        <f>$A$38*2</f>
        <v>0</v>
      </c>
      <c r="AB6" s="74">
        <f>IF(Y6="%",$A$39*Z6%*AA6,AA6*Z6)</f>
        <v>0</v>
      </c>
      <c r="AC6" s="74" t="str">
        <f t="shared" si="2"/>
        <v>Generali Vision</v>
      </c>
      <c r="AF6" s="77"/>
    </row>
    <row r="7" spans="1:32" x14ac:dyDescent="0.25">
      <c r="A7" s="74" t="s">
        <v>152</v>
      </c>
      <c r="B7" s="75">
        <v>93</v>
      </c>
      <c r="C7" s="74">
        <v>0</v>
      </c>
      <c r="F7" s="74">
        <v>1</v>
      </c>
      <c r="G7" s="74" t="s">
        <v>22</v>
      </c>
      <c r="H7" s="75">
        <v>1.75</v>
      </c>
      <c r="I7" s="75">
        <f>(((100-$B$7)+$F$7)*POWER(1+(1/100),12))+$H$7</f>
        <v>10.764600241055758</v>
      </c>
      <c r="J7" s="75">
        <f t="shared" ref="J7:S7" si="5">(((100-$B$7)+$F$7)*POWER(1+(1/100),12))+$H$7</f>
        <v>10.764600241055758</v>
      </c>
      <c r="K7" s="75">
        <f t="shared" si="5"/>
        <v>10.764600241055758</v>
      </c>
      <c r="L7" s="75">
        <f t="shared" si="5"/>
        <v>10.764600241055758</v>
      </c>
      <c r="M7" s="75">
        <f t="shared" si="5"/>
        <v>10.764600241055758</v>
      </c>
      <c r="N7" s="75">
        <f t="shared" si="5"/>
        <v>10.764600241055758</v>
      </c>
      <c r="O7" s="75">
        <f t="shared" si="5"/>
        <v>10.764600241055758</v>
      </c>
      <c r="P7" s="75">
        <f t="shared" si="5"/>
        <v>10.764600241055758</v>
      </c>
      <c r="Q7" s="75">
        <f t="shared" si="5"/>
        <v>10.764600241055758</v>
      </c>
      <c r="R7" s="75">
        <f t="shared" si="5"/>
        <v>10.764600241055758</v>
      </c>
      <c r="S7" s="75">
        <f t="shared" si="5"/>
        <v>10.764600241055758</v>
      </c>
      <c r="T7" s="75" t="s">
        <v>19</v>
      </c>
      <c r="U7" s="74">
        <f>8.6*12</f>
        <v>103.19999999999999</v>
      </c>
      <c r="V7" s="74">
        <v>0</v>
      </c>
      <c r="W7" s="74" t="s">
        <v>22</v>
      </c>
      <c r="X7" s="88">
        <f t="shared" ref="X7:X14" si="6">(((U7+V7)*POWER(1+(1/100),12)))</f>
        <v>116.28834310961926</v>
      </c>
      <c r="AC7" s="74" t="str">
        <f t="shared" si="2"/>
        <v>OMI (Royal Skandia)</v>
      </c>
      <c r="AF7" s="77"/>
    </row>
    <row r="8" spans="1:32" x14ac:dyDescent="0.25">
      <c r="A8" s="74" t="s">
        <v>113</v>
      </c>
      <c r="B8" s="75">
        <v>100</v>
      </c>
      <c r="C8" s="74">
        <v>8</v>
      </c>
      <c r="D8" s="74" t="s">
        <v>22</v>
      </c>
      <c r="E8" s="75">
        <v>2</v>
      </c>
      <c r="F8" s="74">
        <v>8</v>
      </c>
      <c r="G8" s="74" t="s">
        <v>22</v>
      </c>
      <c r="H8" s="75">
        <v>1.75</v>
      </c>
      <c r="I8" s="75">
        <f>(($C$8+$F$8)*POWER(1+(1/100),12))+$H$8</f>
        <v>19.779200482111516</v>
      </c>
      <c r="J8" s="75">
        <f>(($C$8+$F$8)*POWER(1+(1/100),12))+$H$8</f>
        <v>19.779200482111516</v>
      </c>
      <c r="K8" s="75">
        <f>(($F$8)*POWER(1+(1/100),12))+$H$8</f>
        <v>10.764600241055758</v>
      </c>
      <c r="L8" s="75">
        <f t="shared" ref="L8:S8" si="7">(($F$8)*POWER(1+(1/100),12))+$H$8</f>
        <v>10.764600241055758</v>
      </c>
      <c r="M8" s="75">
        <f t="shared" si="7"/>
        <v>10.764600241055758</v>
      </c>
      <c r="N8" s="75">
        <f t="shared" si="7"/>
        <v>10.764600241055758</v>
      </c>
      <c r="O8" s="75">
        <f t="shared" si="7"/>
        <v>10.764600241055758</v>
      </c>
      <c r="P8" s="75">
        <f t="shared" si="7"/>
        <v>10.764600241055758</v>
      </c>
      <c r="Q8" s="75">
        <f t="shared" si="7"/>
        <v>10.764600241055758</v>
      </c>
      <c r="R8" s="75">
        <f t="shared" si="7"/>
        <v>10.764600241055758</v>
      </c>
      <c r="S8" s="75">
        <f t="shared" si="7"/>
        <v>10.764600241055758</v>
      </c>
      <c r="T8" s="75" t="s">
        <v>19</v>
      </c>
      <c r="U8" s="74">
        <f>(12*12)+100</f>
        <v>244</v>
      </c>
      <c r="V8" s="74">
        <v>0</v>
      </c>
      <c r="W8" s="74" t="s">
        <v>22</v>
      </c>
      <c r="X8" s="88">
        <f t="shared" si="6"/>
        <v>274.94530735220064</v>
      </c>
      <c r="Y8" s="75" t="s">
        <v>19</v>
      </c>
      <c r="Z8" s="76">
        <v>15</v>
      </c>
      <c r="AA8" s="74">
        <f>$A$38*2</f>
        <v>0</v>
      </c>
      <c r="AB8" s="74">
        <f t="shared" ref="AB8:AB14" si="8">IF(Y8="%",$A$39*Z8%*AA8,AA8*Z8)</f>
        <v>0</v>
      </c>
      <c r="AC8" s="74" t="str">
        <f t="shared" si="2"/>
        <v>Hansard 2 years</v>
      </c>
      <c r="AF8" s="77"/>
    </row>
    <row r="9" spans="1:32" x14ac:dyDescent="0.25">
      <c r="A9" s="74" t="s">
        <v>114</v>
      </c>
      <c r="B9" s="75">
        <v>100</v>
      </c>
      <c r="C9" s="74">
        <v>0</v>
      </c>
      <c r="F9" s="74">
        <v>1</v>
      </c>
      <c r="G9" s="74" t="s">
        <v>22</v>
      </c>
      <c r="H9" s="75">
        <v>1.75</v>
      </c>
      <c r="K9" s="75">
        <f t="shared" ref="K9:S9" si="9">(($F$9)*POWER(1+(1/100),12))+$H$8</f>
        <v>2.87682503013197</v>
      </c>
      <c r="L9" s="75">
        <f t="shared" si="9"/>
        <v>2.87682503013197</v>
      </c>
      <c r="M9" s="75">
        <f t="shared" si="9"/>
        <v>2.87682503013197</v>
      </c>
      <c r="N9" s="75">
        <f t="shared" si="9"/>
        <v>2.87682503013197</v>
      </c>
      <c r="O9" s="75">
        <f t="shared" si="9"/>
        <v>2.87682503013197</v>
      </c>
      <c r="P9" s="75">
        <f t="shared" si="9"/>
        <v>2.87682503013197</v>
      </c>
      <c r="Q9" s="75">
        <f t="shared" si="9"/>
        <v>2.87682503013197</v>
      </c>
      <c r="R9" s="75">
        <f t="shared" si="9"/>
        <v>2.87682503013197</v>
      </c>
      <c r="S9" s="75">
        <f t="shared" si="9"/>
        <v>2.87682503013197</v>
      </c>
      <c r="T9" s="75" t="s">
        <v>19</v>
      </c>
      <c r="V9" s="74">
        <v>0</v>
      </c>
      <c r="W9" s="74" t="s">
        <v>22</v>
      </c>
      <c r="X9" s="88">
        <f t="shared" ref="X9" si="10">(((U9+V9)*POWER(1+(1/100),12)))</f>
        <v>0</v>
      </c>
      <c r="Y9" s="75" t="s">
        <v>19</v>
      </c>
      <c r="AA9" s="74">
        <f>$A$38*2</f>
        <v>0</v>
      </c>
      <c r="AB9" s="74">
        <f t="shared" si="8"/>
        <v>0</v>
      </c>
      <c r="AC9" s="74" t="str">
        <f t="shared" si="2"/>
        <v>Hansard after 2</v>
      </c>
      <c r="AF9" s="77"/>
    </row>
    <row r="10" spans="1:32" x14ac:dyDescent="0.25">
      <c r="A10" s="74" t="s">
        <v>21</v>
      </c>
      <c r="B10" s="75">
        <v>100</v>
      </c>
      <c r="C10" s="74">
        <v>0</v>
      </c>
      <c r="E10" s="75">
        <v>1</v>
      </c>
      <c r="F10" s="74">
        <v>0.25</v>
      </c>
      <c r="G10" s="74" t="s">
        <v>22</v>
      </c>
      <c r="H10" s="75">
        <f>$A$44-1</f>
        <v>0.60000000000000009</v>
      </c>
      <c r="I10" s="75">
        <f>(F10*POWER(1+(1/100),4))+H10+C10</f>
        <v>0.86015100250000009</v>
      </c>
      <c r="J10" s="75">
        <f t="shared" ref="J10:S10" si="11">(($F$10)*POWER(1+(1/100),12))+$H$10</f>
        <v>0.88170625753299259</v>
      </c>
      <c r="K10" s="75">
        <f t="shared" si="11"/>
        <v>0.88170625753299259</v>
      </c>
      <c r="L10" s="75">
        <f t="shared" si="11"/>
        <v>0.88170625753299259</v>
      </c>
      <c r="M10" s="75">
        <f t="shared" si="11"/>
        <v>0.88170625753299259</v>
      </c>
      <c r="N10" s="75">
        <f t="shared" si="11"/>
        <v>0.88170625753299259</v>
      </c>
      <c r="O10" s="75">
        <f t="shared" si="11"/>
        <v>0.88170625753299259</v>
      </c>
      <c r="P10" s="75">
        <f t="shared" si="11"/>
        <v>0.88170625753299259</v>
      </c>
      <c r="Q10" s="75">
        <f t="shared" si="11"/>
        <v>0.88170625753299259</v>
      </c>
      <c r="R10" s="75">
        <f t="shared" si="11"/>
        <v>0.88170625753299259</v>
      </c>
      <c r="S10" s="75">
        <f t="shared" si="11"/>
        <v>0.88170625753299259</v>
      </c>
      <c r="T10" s="75" t="s">
        <v>19</v>
      </c>
      <c r="U10" s="74">
        <f>IF(C27/4&gt;190,500,IF(C27=0,0,150))</f>
        <v>150</v>
      </c>
      <c r="V10" s="74">
        <v>0</v>
      </c>
      <c r="W10" s="74" t="s">
        <v>22</v>
      </c>
      <c r="X10" s="88">
        <f t="shared" si="6"/>
        <v>169.02375451979546</v>
      </c>
      <c r="Y10" s="75" t="s">
        <v>19</v>
      </c>
      <c r="Z10" s="76">
        <v>12.5</v>
      </c>
      <c r="AA10" s="74">
        <f>$A$38*2</f>
        <v>0</v>
      </c>
      <c r="AB10" s="74">
        <f t="shared" si="8"/>
        <v>0</v>
      </c>
      <c r="AC10" s="74" t="str">
        <f t="shared" si="2"/>
        <v>Ascentric</v>
      </c>
      <c r="AF10" s="77"/>
    </row>
    <row r="11" spans="1:32" x14ac:dyDescent="0.25">
      <c r="A11" s="74" t="s">
        <v>117</v>
      </c>
      <c r="B11" s="75">
        <v>100</v>
      </c>
      <c r="C11" s="74">
        <v>0</v>
      </c>
      <c r="D11" s="74" t="s">
        <v>22</v>
      </c>
      <c r="E11" s="75">
        <v>2</v>
      </c>
      <c r="F11" s="74">
        <f>6+(0.125*12)</f>
        <v>7.5</v>
      </c>
      <c r="H11" s="75">
        <f>$A$44/1</f>
        <v>1.6</v>
      </c>
      <c r="I11" s="75">
        <f>(($F$11)*POWER(1+(1/100),12))+$H$11</f>
        <v>10.051187725989774</v>
      </c>
      <c r="J11" s="75">
        <f>(($F$11*8/12)*POWER(1+(1/100),12))+$H$11</f>
        <v>7.2341251506598496</v>
      </c>
      <c r="K11" s="75">
        <f>(($F$11)*POWER(1+(1/100),12))+$H$11</f>
        <v>10.051187725989774</v>
      </c>
      <c r="L11" s="75">
        <f t="shared" ref="L11:S11" si="12">(($F$11)*POWER(1+(1/100),12))+$H$11</f>
        <v>10.051187725989774</v>
      </c>
      <c r="M11" s="75">
        <f t="shared" si="12"/>
        <v>10.051187725989774</v>
      </c>
      <c r="N11" s="75">
        <f t="shared" si="12"/>
        <v>10.051187725989774</v>
      </c>
      <c r="O11" s="75">
        <f t="shared" si="12"/>
        <v>10.051187725989774</v>
      </c>
      <c r="P11" s="75">
        <f t="shared" si="12"/>
        <v>10.051187725989774</v>
      </c>
      <c r="Q11" s="75">
        <f t="shared" si="12"/>
        <v>10.051187725989774</v>
      </c>
      <c r="R11" s="75">
        <f t="shared" si="12"/>
        <v>10.051187725989774</v>
      </c>
      <c r="S11" s="75">
        <f t="shared" si="12"/>
        <v>10.051187725989774</v>
      </c>
      <c r="T11" s="75" t="s">
        <v>19</v>
      </c>
      <c r="U11" s="74">
        <f>5*12</f>
        <v>60</v>
      </c>
      <c r="V11" s="74">
        <v>0</v>
      </c>
      <c r="W11" s="74" t="s">
        <v>22</v>
      </c>
      <c r="X11" s="88">
        <f t="shared" si="6"/>
        <v>67.609501807918193</v>
      </c>
      <c r="Y11" s="75" t="s">
        <v>19</v>
      </c>
      <c r="Z11" s="76">
        <v>20</v>
      </c>
      <c r="AA11" s="74">
        <f>IF($A$38&gt;5,($A$38*2)-10,0)</f>
        <v>0</v>
      </c>
      <c r="AB11" s="74">
        <f t="shared" si="8"/>
        <v>0</v>
      </c>
      <c r="AC11" s="74" t="str">
        <f t="shared" si="2"/>
        <v>Royal London&lt;2</v>
      </c>
      <c r="AF11" s="77"/>
    </row>
    <row r="12" spans="1:32" x14ac:dyDescent="0.25">
      <c r="A12" s="74" t="s">
        <v>118</v>
      </c>
      <c r="B12" s="75">
        <v>100</v>
      </c>
      <c r="C12" s="74">
        <v>0</v>
      </c>
      <c r="F12" s="74">
        <f>0.125*12</f>
        <v>1.5</v>
      </c>
      <c r="H12" s="75">
        <v>1.6</v>
      </c>
      <c r="K12" s="75">
        <f>(($F$12)*POWER(1+(1/100),12))+$H$12</f>
        <v>3.2902375451979546</v>
      </c>
      <c r="L12" s="75">
        <f t="shared" ref="L12:S12" si="13">(($F$12)*POWER(1+(1/100),12))+$H$12</f>
        <v>3.2902375451979546</v>
      </c>
      <c r="M12" s="75">
        <f t="shared" si="13"/>
        <v>3.2902375451979546</v>
      </c>
      <c r="N12" s="75">
        <f t="shared" si="13"/>
        <v>3.2902375451979546</v>
      </c>
      <c r="O12" s="75">
        <f t="shared" si="13"/>
        <v>3.2902375451979546</v>
      </c>
      <c r="P12" s="75">
        <f t="shared" si="13"/>
        <v>3.2902375451979546</v>
      </c>
      <c r="Q12" s="75">
        <f t="shared" si="13"/>
        <v>3.2902375451979546</v>
      </c>
      <c r="R12" s="75">
        <f t="shared" si="13"/>
        <v>3.2902375451979546</v>
      </c>
      <c r="S12" s="75">
        <f t="shared" si="13"/>
        <v>3.2902375451979546</v>
      </c>
      <c r="T12" s="75" t="s">
        <v>19</v>
      </c>
      <c r="V12" s="74">
        <v>0</v>
      </c>
      <c r="W12" s="74" t="s">
        <v>22</v>
      </c>
      <c r="X12" s="88">
        <f t="shared" ref="X12" si="14">(((U12+V12)*POWER(1+(1/100),12)))</f>
        <v>0</v>
      </c>
      <c r="Y12" s="75" t="s">
        <v>19</v>
      </c>
      <c r="AA12" s="74">
        <f>IF($A$38&gt;5,($A$38*2)-10,0)</f>
        <v>0</v>
      </c>
      <c r="AB12" s="74">
        <f t="shared" si="8"/>
        <v>0</v>
      </c>
      <c r="AC12" s="74" t="str">
        <f t="shared" si="2"/>
        <v>Royal London&gt;2</v>
      </c>
      <c r="AF12" s="77"/>
    </row>
    <row r="13" spans="1:32" x14ac:dyDescent="0.25">
      <c r="A13" s="74" t="s">
        <v>119</v>
      </c>
      <c r="B13" s="75">
        <v>100</v>
      </c>
      <c r="F13" s="74">
        <v>6</v>
      </c>
      <c r="H13" s="75">
        <v>1.75</v>
      </c>
      <c r="I13" s="75">
        <f>(($F$13)*POWER(1+(1/100),4))+$H$13</f>
        <v>7.9936240600000001</v>
      </c>
      <c r="J13" s="75">
        <f t="shared" ref="J13:S13" si="15">(($F$13)*POWER(1+(1/100),4))+$H$13</f>
        <v>7.9936240600000001</v>
      </c>
      <c r="K13" s="75">
        <f t="shared" si="15"/>
        <v>7.9936240600000001</v>
      </c>
      <c r="L13" s="75">
        <f t="shared" si="15"/>
        <v>7.9936240600000001</v>
      </c>
      <c r="M13" s="75">
        <f t="shared" si="15"/>
        <v>7.9936240600000001</v>
      </c>
      <c r="N13" s="75">
        <f t="shared" si="15"/>
        <v>7.9936240600000001</v>
      </c>
      <c r="O13" s="75">
        <f t="shared" si="15"/>
        <v>7.9936240600000001</v>
      </c>
      <c r="P13" s="75">
        <f t="shared" si="15"/>
        <v>7.9936240600000001</v>
      </c>
      <c r="Q13" s="75">
        <f t="shared" si="15"/>
        <v>7.9936240600000001</v>
      </c>
      <c r="R13" s="75">
        <f t="shared" si="15"/>
        <v>7.9936240600000001</v>
      </c>
      <c r="S13" s="75">
        <f t="shared" si="15"/>
        <v>7.9936240600000001</v>
      </c>
      <c r="T13" s="75" t="s">
        <v>19</v>
      </c>
      <c r="U13" s="74">
        <f>4*12</f>
        <v>48</v>
      </c>
      <c r="V13" s="74">
        <v>0</v>
      </c>
      <c r="W13" s="74" t="s">
        <v>22</v>
      </c>
      <c r="X13" s="88">
        <f t="shared" ref="X13" si="16">(((U13+V13)*POWER(1+(1/100),12)))</f>
        <v>54.087601446334546</v>
      </c>
      <c r="Y13" s="75" t="s">
        <v>19</v>
      </c>
      <c r="AA13" s="74">
        <f>IF($A$38&gt;5,($A$38*2)-10,0)</f>
        <v>0</v>
      </c>
      <c r="AB13" s="74">
        <f t="shared" si="8"/>
        <v>0</v>
      </c>
      <c r="AC13" s="74" t="str">
        <f t="shared" si="2"/>
        <v>F Prov&lt;2</v>
      </c>
      <c r="AF13" s="77"/>
    </row>
    <row r="14" spans="1:32" x14ac:dyDescent="0.25">
      <c r="A14" s="74" t="s">
        <v>112</v>
      </c>
      <c r="B14" s="75">
        <v>100</v>
      </c>
      <c r="C14" s="74">
        <v>0</v>
      </c>
      <c r="E14" s="75">
        <v>0</v>
      </c>
      <c r="F14" s="74">
        <v>1.2</v>
      </c>
      <c r="H14" s="75">
        <v>1.75</v>
      </c>
      <c r="K14" s="75">
        <f>(($F$14)*POWER(1+(1/100),12))+$H$14</f>
        <v>3.1021900361583636</v>
      </c>
      <c r="L14" s="75">
        <f t="shared" ref="L14:S14" si="17">(($F$14)*POWER(1+(1/100),12))+$H$14</f>
        <v>3.1021900361583636</v>
      </c>
      <c r="M14" s="75">
        <f t="shared" si="17"/>
        <v>3.1021900361583636</v>
      </c>
      <c r="N14" s="75">
        <f t="shared" si="17"/>
        <v>3.1021900361583636</v>
      </c>
      <c r="O14" s="75">
        <f t="shared" si="17"/>
        <v>3.1021900361583636</v>
      </c>
      <c r="P14" s="75">
        <f t="shared" si="17"/>
        <v>3.1021900361583636</v>
      </c>
      <c r="Q14" s="75">
        <f t="shared" si="17"/>
        <v>3.1021900361583636</v>
      </c>
      <c r="R14" s="75">
        <f t="shared" si="17"/>
        <v>3.1021900361583636</v>
      </c>
      <c r="S14" s="75">
        <f t="shared" si="17"/>
        <v>3.1021900361583636</v>
      </c>
      <c r="T14" s="75" t="s">
        <v>19</v>
      </c>
      <c r="U14" s="74">
        <v>0</v>
      </c>
      <c r="V14" s="74">
        <v>0</v>
      </c>
      <c r="W14" s="74" t="s">
        <v>22</v>
      </c>
      <c r="X14" s="88">
        <f t="shared" si="6"/>
        <v>0</v>
      </c>
      <c r="Y14" s="75" t="s">
        <v>19</v>
      </c>
      <c r="AA14" s="74">
        <f>IF($A$38&gt;5,($A$38*2)-10,0)</f>
        <v>0</v>
      </c>
      <c r="AB14" s="74">
        <f t="shared" si="8"/>
        <v>0</v>
      </c>
      <c r="AC14" s="74" t="str">
        <f t="shared" si="2"/>
        <v>Friends Provident</v>
      </c>
      <c r="AF14" s="77"/>
    </row>
    <row r="15" spans="1:32" x14ac:dyDescent="0.25">
      <c r="B15" s="75"/>
      <c r="T15" s="89"/>
      <c r="U15" s="89"/>
      <c r="V15" s="89"/>
      <c r="W15" s="89"/>
      <c r="AF15" s="77"/>
    </row>
    <row r="16" spans="1:32" x14ac:dyDescent="0.25">
      <c r="B16" s="75"/>
      <c r="D16" s="74" t="s">
        <v>52</v>
      </c>
      <c r="T16" s="89"/>
      <c r="U16" s="89"/>
      <c r="V16" s="89"/>
      <c r="W16" s="89"/>
      <c r="AF16" s="77"/>
    </row>
    <row r="17" spans="1:43" x14ac:dyDescent="0.25">
      <c r="B17" s="75"/>
      <c r="I17" s="75">
        <v>1</v>
      </c>
      <c r="J17" s="75">
        <v>2</v>
      </c>
      <c r="K17" s="75">
        <v>3</v>
      </c>
      <c r="L17" s="75">
        <v>4</v>
      </c>
      <c r="M17" s="75">
        <v>5</v>
      </c>
      <c r="N17" s="75">
        <v>6</v>
      </c>
      <c r="O17" s="75">
        <v>7</v>
      </c>
      <c r="P17" s="75">
        <v>8</v>
      </c>
      <c r="Q17" s="75">
        <v>9</v>
      </c>
      <c r="R17" s="75">
        <v>10</v>
      </c>
      <c r="S17" s="75">
        <v>11</v>
      </c>
      <c r="T17" s="75">
        <v>12</v>
      </c>
      <c r="U17" s="75">
        <v>13</v>
      </c>
      <c r="V17" s="75">
        <v>14</v>
      </c>
      <c r="W17" s="75">
        <v>15</v>
      </c>
      <c r="X17" s="75">
        <v>16</v>
      </c>
      <c r="Y17" s="75">
        <v>17</v>
      </c>
      <c r="Z17" s="75">
        <v>18</v>
      </c>
      <c r="AA17" s="75">
        <v>19</v>
      </c>
      <c r="AB17" s="75">
        <v>20</v>
      </c>
      <c r="AC17" s="75">
        <v>21</v>
      </c>
      <c r="AD17" s="75">
        <v>22</v>
      </c>
      <c r="AE17" s="75">
        <v>23</v>
      </c>
      <c r="AF17" s="75">
        <v>24</v>
      </c>
      <c r="AG17" s="75">
        <v>25</v>
      </c>
      <c r="AH17" s="75"/>
      <c r="AI17" s="75" t="s">
        <v>46</v>
      </c>
      <c r="AJ17" s="75"/>
      <c r="AK17" s="89"/>
      <c r="AL17" s="89"/>
      <c r="AM17" s="89"/>
      <c r="AN17" s="89"/>
      <c r="AP17" s="75"/>
      <c r="AQ17" s="76"/>
    </row>
    <row r="18" spans="1:43" x14ac:dyDescent="0.25">
      <c r="A18" s="74" t="s">
        <v>48</v>
      </c>
      <c r="H18" s="83" t="str">
        <f>A4</f>
        <v>Hallmark</v>
      </c>
      <c r="I18" s="78">
        <f>$D$21*(100+$C$22-I4)%-(($X4+$AB4)*(100+$C$22/$H$45)%)</f>
        <v>12308.468231659348</v>
      </c>
      <c r="J18" s="78">
        <f>$D$21*(100+$C$22-J4)%-(($X4+$AB4)*(100+$C$22/$L$45)%)+I18*(100+$D$22-J4)%</f>
        <v>25326.144555191862</v>
      </c>
      <c r="K18" s="78">
        <f t="shared" ref="K18:R18" si="18">$D$21*(100+$C$22-K4)%-(($X4+$AB4)*(100+$C$22/$L$45)%)+J18*(100+$D$22-K4)%</f>
        <v>39093.893203913321</v>
      </c>
      <c r="L18" s="78">
        <f t="shared" si="18"/>
        <v>53654.932988848952</v>
      </c>
      <c r="M18" s="78">
        <f t="shared" si="18"/>
        <v>69054.972968382426</v>
      </c>
      <c r="N18" s="78">
        <f t="shared" si="18"/>
        <v>85342.355935125524</v>
      </c>
      <c r="O18" s="78">
        <f t="shared" si="18"/>
        <v>102568.21017043314</v>
      </c>
      <c r="P18" s="78">
        <f t="shared" si="18"/>
        <v>120786.60994294127</v>
      </c>
      <c r="Q18" s="78">
        <f t="shared" si="18"/>
        <v>140054.74525495456</v>
      </c>
      <c r="R18" s="78">
        <f t="shared" si="18"/>
        <v>160433.10136954003</v>
      </c>
      <c r="S18" s="78">
        <f>$D$21*(100+$C$22-$S$4)%-(($X4+$AB4)*(100+$C$22/$L$45)%)+R18*(100+$D$22-$S$4)%</f>
        <v>181985.64868188664</v>
      </c>
      <c r="T18" s="78">
        <f>$D$21*(100+$C$22-$S$4)%-(($X4+$AB4)*(100+$C$22/$L$45)%)+S18*(100+$D$22-$S$4)%</f>
        <v>204780.04353096243</v>
      </c>
      <c r="U18" s="78">
        <f t="shared" ref="U18:AG18" si="19">$D$21*(100+$C$22-$S$4)%-(($X4+$AB4)*(100+$C$22/$L$45)%)+T18*(100+$D$22-$S$4)%</f>
        <v>228887.84058184389</v>
      </c>
      <c r="V18" s="78">
        <f t="shared" si="19"/>
        <v>254384.71744541428</v>
      </c>
      <c r="W18" s="78">
        <f t="shared" si="19"/>
        <v>281350.71224054223</v>
      </c>
      <c r="X18" s="78">
        <f t="shared" si="19"/>
        <v>309870.47484448034</v>
      </c>
      <c r="Y18" s="78">
        <f t="shared" si="19"/>
        <v>340033.53262019204</v>
      </c>
      <c r="Z18" s="78">
        <f t="shared" si="19"/>
        <v>371934.5714547612</v>
      </c>
      <c r="AA18" s="78">
        <f t="shared" si="19"/>
        <v>405673.73299110105</v>
      </c>
      <c r="AB18" s="78">
        <f t="shared" si="19"/>
        <v>441356.92898601317</v>
      </c>
      <c r="AC18" s="78">
        <f t="shared" si="19"/>
        <v>479096.17378140846</v>
      </c>
      <c r="AD18" s="78">
        <f t="shared" si="19"/>
        <v>519009.93593236164</v>
      </c>
      <c r="AE18" s="78">
        <f t="shared" si="19"/>
        <v>561223.51009580772</v>
      </c>
      <c r="AF18" s="78">
        <f t="shared" si="19"/>
        <v>605869.41034728789</v>
      </c>
      <c r="AG18" s="78">
        <f t="shared" si="19"/>
        <v>653087.78616041993</v>
      </c>
      <c r="AH18" s="78"/>
      <c r="AI18" s="78">
        <f>HLOOKUP($C$24,$I$17:$AH$33,2)</f>
        <v>69054.972968382426</v>
      </c>
      <c r="AJ18" s="78" t="str">
        <f>H18</f>
        <v>Hallmark</v>
      </c>
      <c r="AK18" s="78">
        <f>HLOOKUP($C$25,$I$17:$AH$33,2)</f>
        <v>39093.893203913321</v>
      </c>
      <c r="AL18" s="75">
        <f t="shared" ref="AL18:AL25" si="20">IF(AJ18=$C$30,AK18,0)</f>
        <v>0</v>
      </c>
      <c r="AM18" s="75"/>
      <c r="AN18" s="75"/>
      <c r="AP18" s="75"/>
      <c r="AQ18" s="76"/>
    </row>
    <row r="19" spans="1:43" x14ac:dyDescent="0.25">
      <c r="H19" s="83" t="str">
        <f>A5</f>
        <v>Generali&lt;2</v>
      </c>
      <c r="I19" s="78">
        <f>$C$21*$B$5%*(100+$C$22-I5)%-(($X5+$AB5)*(100+$C$22/$H$45)%)-$H$77</f>
        <v>10906.85343664133</v>
      </c>
      <c r="J19" s="78">
        <f>$C$21*$B$5%*(100+$C$22-J5)%-(($X5+$AB5)*(100+$C$22/$L$45)%)+I19*(100+$D$22-J5)%-$H$77</f>
        <v>22294.673201131955</v>
      </c>
      <c r="K19" s="78">
        <f>(J19*(100+$D$22-K5)%)-$H$77</f>
        <v>22137.815329376284</v>
      </c>
      <c r="L19" s="78">
        <f t="shared" ref="L19:P19" si="21">(K19*(100+$D$22-L5)%)-$H$77</f>
        <v>21974.040398084533</v>
      </c>
      <c r="M19" s="78">
        <f t="shared" si="21"/>
        <v>21803.043381362299</v>
      </c>
      <c r="N19" s="78">
        <f t="shared" si="21"/>
        <v>21624.505802397816</v>
      </c>
      <c r="O19" s="78">
        <f t="shared" si="21"/>
        <v>21438.095140308444</v>
      </c>
      <c r="P19" s="78">
        <f t="shared" si="21"/>
        <v>21243.464210830509</v>
      </c>
      <c r="Q19" s="78">
        <f>IF((P19-$H$77)&lt;0,0,(P19*(100+$D$22-$S$5)%)-$H$77)</f>
        <v>21040.250519699024</v>
      </c>
      <c r="R19" s="78">
        <f>IF((Q19-$H$77)&lt;0,0,(Q19*(100+$D$22-$S$5)%)-$H$77)</f>
        <v>20828.075587513005</v>
      </c>
      <c r="S19" s="78">
        <f>IF((R19-$H$77)&lt;0,0,(R19*(100+$D$22-$S$5)%)-$H$77)</f>
        <v>20606.544244828943</v>
      </c>
      <c r="T19" s="78">
        <f t="shared" ref="T19:AG19" si="22">IF((S19-$H$77)&lt;0,0,(S19*(100+$D$22-$S$5)%)-$H$77)</f>
        <v>20375.243896169581</v>
      </c>
      <c r="U19" s="78">
        <f t="shared" si="22"/>
        <v>20133.743751577211</v>
      </c>
      <c r="V19" s="78">
        <f t="shared" si="22"/>
        <v>19881.594024280315</v>
      </c>
      <c r="W19" s="78">
        <f t="shared" si="22"/>
        <v>19618.325092979198</v>
      </c>
      <c r="X19" s="78">
        <f t="shared" si="22"/>
        <v>19343.446627190402</v>
      </c>
      <c r="Y19" s="78">
        <f t="shared" si="22"/>
        <v>19056.446674020917</v>
      </c>
      <c r="Z19" s="78">
        <f t="shared" si="22"/>
        <v>18756.790704671264</v>
      </c>
      <c r="AA19" s="78">
        <f t="shared" si="22"/>
        <v>18443.920618891658</v>
      </c>
      <c r="AB19" s="78">
        <f t="shared" si="22"/>
        <v>18117.253705537034</v>
      </c>
      <c r="AC19" s="78">
        <f t="shared" si="22"/>
        <v>17776.181557285039</v>
      </c>
      <c r="AD19" s="78">
        <f t="shared" si="22"/>
        <v>17420.068937495642</v>
      </c>
      <c r="AE19" s="78">
        <f t="shared" si="22"/>
        <v>17048.252597101957</v>
      </c>
      <c r="AF19" s="78">
        <f t="shared" si="22"/>
        <v>16660.040039328775</v>
      </c>
      <c r="AG19" s="78">
        <f t="shared" si="22"/>
        <v>16254.708229938082</v>
      </c>
      <c r="AH19" s="78"/>
      <c r="AI19" s="78"/>
      <c r="AJ19" s="78" t="s">
        <v>131</v>
      </c>
      <c r="AK19" s="78"/>
      <c r="AL19" s="75">
        <f t="shared" si="20"/>
        <v>0</v>
      </c>
      <c r="AM19" s="75"/>
      <c r="AN19" s="75"/>
      <c r="AP19" s="75"/>
      <c r="AQ19" s="76"/>
    </row>
    <row r="20" spans="1:43" x14ac:dyDescent="0.25">
      <c r="H20" s="83" t="s">
        <v>123</v>
      </c>
      <c r="I20" s="78"/>
      <c r="J20" s="78"/>
      <c r="K20" s="78">
        <f>$C$21*$B$6%*(100+$C$22-K6)%-(($X6+$AB6)*(100+$C$22/$L$45)%)</f>
        <v>12004.583976111018</v>
      </c>
      <c r="L20" s="78">
        <f>$C$21*(100+$C$22-L6)%-(($X6+$AB6)*(100+$C$22/$L$45)%)+(K20*(100+$D$22-L6)%)</f>
        <v>24075.201072461867</v>
      </c>
      <c r="M20" s="78">
        <f t="shared" ref="M20:Q20" si="23">$C$21*(100+$C$22-M6)%-(($X6+$AB6)*(100+$C$22/$L$45)%)+(L20*(100+$D$22-M6)%)</f>
        <v>36678.103709590512</v>
      </c>
      <c r="N20" s="78">
        <f t="shared" si="23"/>
        <v>49836.764415426514</v>
      </c>
      <c r="O20" s="78">
        <f t="shared" si="23"/>
        <v>63575.690800623262</v>
      </c>
      <c r="P20" s="78">
        <f t="shared" si="23"/>
        <v>77920.471203247303</v>
      </c>
      <c r="Q20" s="78">
        <f t="shared" si="23"/>
        <v>92897.822346290064</v>
      </c>
      <c r="R20" s="78">
        <f>$C$21*(100+$C$22-R6)%-(($X6+$AB6)*(100+$C$22/$L$45)%)+(Q20*(100+$D$22-R6)%)+R35</f>
        <v>114235.63909676259</v>
      </c>
      <c r="S20" s="78">
        <f>$C$21*(100+$C$22-$S$6)%-(($X6+$AB6)*(100+$C$22/$L$45)%)+(R20*(100+$D$22-$S$6)%)</f>
        <v>130814.40287897192</v>
      </c>
      <c r="T20" s="78">
        <f t="shared" ref="T20:AG20" si="24">$C$21*(100+$C$22-$S$6)%-(($X6+$AB6)*(100+$C$22/$L$45)%)+(S20*(100+$D$22-$S$6)%)</f>
        <v>148124.25076191945</v>
      </c>
      <c r="U20" s="78">
        <f t="shared" si="24"/>
        <v>166197.42181779255</v>
      </c>
      <c r="V20" s="78">
        <f t="shared" si="24"/>
        <v>185067.5767852797</v>
      </c>
      <c r="W20" s="78">
        <f>$C$21*(100+$C$22-$S$6)%-(($X6+$AB6)*(100+$C$22/$L$45)%)+(V20*(100+$D$22-$S$6)%)+W35</f>
        <v>207619.86076168605</v>
      </c>
      <c r="X20" s="78">
        <f t="shared" si="24"/>
        <v>228316.64688958431</v>
      </c>
      <c r="Y20" s="78">
        <f t="shared" si="24"/>
        <v>249926.1121215013</v>
      </c>
      <c r="Z20" s="78">
        <f t="shared" si="24"/>
        <v>272488.50343789882</v>
      </c>
      <c r="AA20" s="78">
        <f t="shared" si="24"/>
        <v>296045.84261547239</v>
      </c>
      <c r="AB20" s="78">
        <f>$C$21*(100+$C$22-$S$6)%-(($X6+$AB6)*(100+$C$22/$L$45)%)+(AA20*(100+$D$22-$S$6)%)+AB35</f>
        <v>323492.00449144898</v>
      </c>
      <c r="AC20" s="78">
        <f t="shared" si="24"/>
        <v>349298.47690911661</v>
      </c>
      <c r="AD20" s="78">
        <f t="shared" si="24"/>
        <v>376242.95345836738</v>
      </c>
      <c r="AE20" s="78">
        <f t="shared" si="24"/>
        <v>404375.61741812993</v>
      </c>
      <c r="AF20" s="78">
        <f t="shared" si="24"/>
        <v>433748.86503072572</v>
      </c>
      <c r="AG20" s="78">
        <f t="shared" si="24"/>
        <v>464417.40308829781</v>
      </c>
      <c r="AH20" s="78"/>
      <c r="AI20" s="78"/>
      <c r="AJ20" s="78" t="s">
        <v>131</v>
      </c>
      <c r="AK20" s="78"/>
      <c r="AL20" s="75">
        <f t="shared" si="20"/>
        <v>0</v>
      </c>
      <c r="AM20" s="75"/>
      <c r="AN20" s="75"/>
      <c r="AP20" s="75"/>
      <c r="AQ20" s="76"/>
    </row>
    <row r="21" spans="1:43" x14ac:dyDescent="0.25">
      <c r="A21" s="74" t="s">
        <v>32</v>
      </c>
      <c r="B21" s="79"/>
      <c r="C21" s="80">
        <f>D21*((100-C27)/100)</f>
        <v>11400</v>
      </c>
      <c r="D21" s="82">
        <f>Investment_Projections!C27*12</f>
        <v>12000</v>
      </c>
      <c r="E21" s="90" t="s">
        <v>66</v>
      </c>
      <c r="F21" s="91"/>
      <c r="H21" s="83" t="str">
        <f>A6</f>
        <v>Generali Vision</v>
      </c>
      <c r="I21" s="78">
        <f>SUM(I19:I20)</f>
        <v>10906.85343664133</v>
      </c>
      <c r="J21" s="78">
        <f t="shared" ref="J21:AG21" si="25">SUM(J19:J20)</f>
        <v>22294.673201131955</v>
      </c>
      <c r="K21" s="78">
        <f t="shared" si="25"/>
        <v>34142.399305487299</v>
      </c>
      <c r="L21" s="78">
        <f t="shared" si="25"/>
        <v>46049.241470546403</v>
      </c>
      <c r="M21" s="78">
        <f t="shared" si="25"/>
        <v>58481.147090952814</v>
      </c>
      <c r="N21" s="78">
        <f t="shared" si="25"/>
        <v>71461.270217824334</v>
      </c>
      <c r="O21" s="78">
        <f t="shared" si="25"/>
        <v>85013.785940931702</v>
      </c>
      <c r="P21" s="78">
        <f t="shared" si="25"/>
        <v>99163.935414077816</v>
      </c>
      <c r="Q21" s="78">
        <f t="shared" si="25"/>
        <v>113938.07286598909</v>
      </c>
      <c r="R21" s="78">
        <f t="shared" si="25"/>
        <v>135063.71468427559</v>
      </c>
      <c r="S21" s="78">
        <f t="shared" si="25"/>
        <v>151420.94712380087</v>
      </c>
      <c r="T21" s="78">
        <f t="shared" si="25"/>
        <v>168499.49465808904</v>
      </c>
      <c r="U21" s="78">
        <f t="shared" si="25"/>
        <v>186331.16556936977</v>
      </c>
      <c r="V21" s="78">
        <f t="shared" si="25"/>
        <v>204949.17080956002</v>
      </c>
      <c r="W21" s="78">
        <f t="shared" si="25"/>
        <v>227238.18585466524</v>
      </c>
      <c r="X21" s="78">
        <f t="shared" si="25"/>
        <v>247660.09351677471</v>
      </c>
      <c r="Y21" s="78">
        <f t="shared" si="25"/>
        <v>268982.5587955222</v>
      </c>
      <c r="Z21" s="78">
        <f t="shared" si="25"/>
        <v>291245.29414257011</v>
      </c>
      <c r="AA21" s="78">
        <f t="shared" si="25"/>
        <v>314489.76323436404</v>
      </c>
      <c r="AB21" s="78">
        <f t="shared" si="25"/>
        <v>341609.25819698605</v>
      </c>
      <c r="AC21" s="78">
        <f t="shared" si="25"/>
        <v>367074.65846640163</v>
      </c>
      <c r="AD21" s="78">
        <f t="shared" si="25"/>
        <v>393663.02239586302</v>
      </c>
      <c r="AE21" s="78">
        <f t="shared" si="25"/>
        <v>421423.87001523189</v>
      </c>
      <c r="AF21" s="78">
        <f t="shared" si="25"/>
        <v>450408.90507005452</v>
      </c>
      <c r="AG21" s="78">
        <f t="shared" si="25"/>
        <v>480672.11131823587</v>
      </c>
      <c r="AH21" s="78"/>
      <c r="AI21" s="78">
        <f>HLOOKUP($C$24,$I$17:$AH$33,5)</f>
        <v>58481.147090952814</v>
      </c>
      <c r="AJ21" s="78" t="str">
        <f t="shared" ref="AJ21:AJ33" si="26">H21</f>
        <v>Generali Vision</v>
      </c>
      <c r="AK21" s="78">
        <f>HLOOKUP($C$25,$I$17:$AH$33,5)</f>
        <v>34142.399305487299</v>
      </c>
      <c r="AL21" s="75">
        <f t="shared" si="20"/>
        <v>0</v>
      </c>
      <c r="AM21" s="75"/>
      <c r="AN21" s="75"/>
      <c r="AP21" s="75"/>
      <c r="AQ21" s="76"/>
    </row>
    <row r="22" spans="1:43" x14ac:dyDescent="0.25">
      <c r="A22" s="74" t="s">
        <v>45</v>
      </c>
      <c r="B22" s="75"/>
      <c r="C22" s="81">
        <f>D22*60/100</f>
        <v>4.2</v>
      </c>
      <c r="D22" s="75">
        <f>IF(E27,Investment_Projections!C29*0.96,Investment_Projections!C29)-(C28*80%)</f>
        <v>7</v>
      </c>
      <c r="E22" s="81" t="b">
        <v>0</v>
      </c>
      <c r="F22" s="92"/>
      <c r="H22" s="83" t="str">
        <f>A7</f>
        <v>OMI (Royal Skandia)</v>
      </c>
      <c r="I22" s="78">
        <f>$D$21*(100+$C$22-I7)%-(($X7+$AB7)*(100+$C$22/$H$45)%)</f>
        <v>11091.075517553085</v>
      </c>
      <c r="J22" s="78">
        <f>$D$21*(100+$C$22-J7)%-(($X7+$AB7)*(100+$C$22/$L$45)%)+I22*(100+$D$22-(J7-7))%</f>
        <v>22540.991665665406</v>
      </c>
      <c r="K22" s="78">
        <f t="shared" ref="K22:R22" si="27">$D$21*(100+$C$22-K7)%-(($X7+$AB7)*(100+$C$22/$L$45)%)+J22*(100+$D$22-(K7-7))%</f>
        <v>34361.358373233074</v>
      </c>
      <c r="L22" s="78">
        <f t="shared" si="27"/>
        <v>46564.161196763715</v>
      </c>
      <c r="M22" s="78">
        <f t="shared" si="27"/>
        <v>59161.773473431305</v>
      </c>
      <c r="N22" s="78">
        <f t="shared" si="27"/>
        <v>72166.968867330928</v>
      </c>
      <c r="O22" s="78">
        <f t="shared" si="27"/>
        <v>85592.934321655004</v>
      </c>
      <c r="P22" s="78">
        <f t="shared" si="27"/>
        <v>99453.283429924209</v>
      </c>
      <c r="Q22" s="78">
        <f t="shared" si="27"/>
        <v>113762.0702398312</v>
      </c>
      <c r="R22" s="78">
        <f t="shared" si="27"/>
        <v>128533.80350369377</v>
      </c>
      <c r="S22" s="78">
        <f>$C$21*(100+$C$22-$S$7)%-(($X7+$AB7)*(100+$C$22/$L$45)%)+R22*(100+$D$22-($S$7-7))%</f>
        <v>143222.84899141354</v>
      </c>
      <c r="T22" s="78">
        <f t="shared" ref="T22:V22" si="28">$C$21*(100+$C$22-$S$7)%-(($X7+$AB7)*(100+$C$22/$L$45)%)+S22*(100+$D$22-($S$7-7))%</f>
        <v>158387.14382143423</v>
      </c>
      <c r="U22" s="78">
        <f t="shared" si="28"/>
        <v>174042.06420983101</v>
      </c>
      <c r="V22" s="78">
        <f t="shared" si="28"/>
        <v>190203.48385473687</v>
      </c>
      <c r="W22" s="78">
        <f>$C$21*(100+$C$22-$S$7)%-(($X7+$AB7)*(100+$C$22/$L$45)%)+V22*(100+$D$22-($S$7-7))%+($W$36*(W17-$V$17))</f>
        <v>209262.79003187601</v>
      </c>
      <c r="X22" s="78">
        <f t="shared" ref="X22:AB22" si="29">$C$21*(100+$C$22-$S$7)%-(($X7+$AB7)*(100+$C$22/$L$45)%)+W22*(100+$D$22-($S$7-7))%+($W$36*(X17-$V$17))</f>
        <v>231313.74095512673</v>
      </c>
      <c r="Y22" s="78">
        <f t="shared" si="29"/>
        <v>256453.12829139322</v>
      </c>
      <c r="Z22" s="78">
        <f t="shared" si="29"/>
        <v>284780.87530493736</v>
      </c>
      <c r="AA22" s="78">
        <f t="shared" si="29"/>
        <v>316400.13817707205</v>
      </c>
      <c r="AB22" s="78">
        <f t="shared" si="29"/>
        <v>351417.41060395172</v>
      </c>
      <c r="AC22" s="78">
        <f>$C$21*(100+$C$22-$S$7)%-(($X7+$AB7)*(100+$C$22/$L$45)%)+AB22*(100+$D$22-($S$7-7))%</f>
        <v>373317.63177851954</v>
      </c>
      <c r="AD22" s="78">
        <f t="shared" ref="AD22:AG22" si="30">$C$21*(100+$C$22-$S$7)%-(($X7+$AB7)*(100+$C$22/$L$45)%)+AC22*(100+$D$22-($S$7-7))%</f>
        <v>395926.41265617759</v>
      </c>
      <c r="AE22" s="78">
        <f t="shared" si="30"/>
        <v>419266.67797585158</v>
      </c>
      <c r="AF22" s="78">
        <f t="shared" si="30"/>
        <v>443362.09418341529</v>
      </c>
      <c r="AG22" s="78">
        <f t="shared" si="30"/>
        <v>468237.09342887509</v>
      </c>
      <c r="AH22" s="78"/>
      <c r="AI22" s="78">
        <f>HLOOKUP($C$24,$I$17:$AH$33,6)</f>
        <v>59161.773473431305</v>
      </c>
      <c r="AJ22" s="78" t="str">
        <f t="shared" si="26"/>
        <v>OMI (Royal Skandia)</v>
      </c>
      <c r="AK22" s="78">
        <f>HLOOKUP($C$25,$I$17:$AH$33,6)</f>
        <v>34361.358373233074</v>
      </c>
      <c r="AL22" s="75">
        <f t="shared" si="20"/>
        <v>0</v>
      </c>
      <c r="AM22" s="75"/>
      <c r="AN22" s="75"/>
      <c r="AP22" s="75"/>
      <c r="AQ22" s="76"/>
    </row>
    <row r="23" spans="1:43" x14ac:dyDescent="0.25">
      <c r="A23" s="74" t="s">
        <v>45</v>
      </c>
      <c r="B23" s="75"/>
      <c r="C23" s="81">
        <f>D23*60/100</f>
        <v>-16413</v>
      </c>
      <c r="D23" s="75">
        <f>IF(E28,Investment_Projections!C30*0.96,Investment_Projections!C30)-(C29*80%)</f>
        <v>-27355</v>
      </c>
      <c r="E23" s="81" t="b">
        <v>0</v>
      </c>
      <c r="F23" s="92"/>
      <c r="H23" s="83" t="s">
        <v>151</v>
      </c>
      <c r="I23" s="78">
        <f>I22</f>
        <v>11091.075517553085</v>
      </c>
      <c r="J23" s="78">
        <f>J22*98/100</f>
        <v>22090.171832352098</v>
      </c>
      <c r="K23" s="78">
        <f t="shared" ref="K23:Q23" si="31">K22*98/100</f>
        <v>33674.131205768412</v>
      </c>
      <c r="L23" s="78">
        <f t="shared" si="31"/>
        <v>45632.877972828435</v>
      </c>
      <c r="M23" s="78">
        <f t="shared" si="31"/>
        <v>57978.538003962683</v>
      </c>
      <c r="N23" s="78">
        <f t="shared" si="31"/>
        <v>70723.629489984305</v>
      </c>
      <c r="O23" s="78">
        <f t="shared" si="31"/>
        <v>83881.075635221903</v>
      </c>
      <c r="P23" s="78">
        <f t="shared" si="31"/>
        <v>97464.217761325723</v>
      </c>
      <c r="Q23" s="78">
        <f t="shared" si="31"/>
        <v>111486.82883503457</v>
      </c>
      <c r="R23" s="78">
        <f t="shared" ref="R23:T23" si="32">R22*99/100</f>
        <v>127248.46546865682</v>
      </c>
      <c r="S23" s="78">
        <f t="shared" si="32"/>
        <v>141790.62050149939</v>
      </c>
      <c r="T23" s="78">
        <f t="shared" si="32"/>
        <v>156803.27238321991</v>
      </c>
      <c r="U23" s="78">
        <f>U22*99/100</f>
        <v>172301.64356773268</v>
      </c>
      <c r="V23" s="78">
        <f>V22</f>
        <v>190203.48385473687</v>
      </c>
      <c r="W23" s="78">
        <f>$C$21*(100+$C$22-$S$7)%-(($X7+$AB7)*(100+$C$22/$L$45)%)+V23*(100+$D$22-($S$7-7))%</f>
        <v>206887.79003187601</v>
      </c>
      <c r="X23" s="78">
        <f t="shared" ref="X23:AG23" si="33">$C$21*(100+$C$22-$S$7)%-(($X7+$AB7)*(100+$C$22/$L$45)%)+W23*(100+$D$22-($S$7-7))%</f>
        <v>224111.9002108518</v>
      </c>
      <c r="Y23" s="78">
        <f t="shared" si="33"/>
        <v>241893.27920903848</v>
      </c>
      <c r="Z23" s="78">
        <f t="shared" si="33"/>
        <v>260249.95690046946</v>
      </c>
      <c r="AA23" s="78">
        <f t="shared" si="33"/>
        <v>279200.5464976792</v>
      </c>
      <c r="AB23" s="78">
        <f t="shared" si="33"/>
        <v>298764.26342503558</v>
      </c>
      <c r="AC23" s="78">
        <f t="shared" si="33"/>
        <v>318960.94480270019</v>
      </c>
      <c r="AD23" s="78">
        <f t="shared" si="33"/>
        <v>339811.06956097251</v>
      </c>
      <c r="AE23" s="78">
        <f t="shared" si="33"/>
        <v>361335.77920541354</v>
      </c>
      <c r="AF23" s="78">
        <f t="shared" si="33"/>
        <v>383556.89925380424</v>
      </c>
      <c r="AG23" s="78">
        <f t="shared" si="33"/>
        <v>406496.96136667527</v>
      </c>
      <c r="AH23" s="78"/>
      <c r="AI23" s="78">
        <f>HLOOKUP($C$24,$I$17:$AH$33,7)</f>
        <v>57978.538003962683</v>
      </c>
      <c r="AJ23" s="78" t="str">
        <f t="shared" ref="AJ23" si="34">H23</f>
        <v>OMI EWA</v>
      </c>
      <c r="AK23" s="78">
        <f>HLOOKUP($C$25,$I$17:$AH$33,7)</f>
        <v>33674.131205768412</v>
      </c>
      <c r="AL23" s="75">
        <f t="shared" si="20"/>
        <v>0</v>
      </c>
      <c r="AM23" s="75"/>
      <c r="AN23" s="75"/>
      <c r="AP23" s="75"/>
      <c r="AQ23" s="76"/>
    </row>
    <row r="24" spans="1:43" x14ac:dyDescent="0.25">
      <c r="A24" s="74" t="s">
        <v>47</v>
      </c>
      <c r="B24" s="75"/>
      <c r="C24" s="81">
        <f>Investment_Projections!C30</f>
        <v>5</v>
      </c>
      <c r="D24" s="75"/>
      <c r="E24" s="90"/>
      <c r="F24" s="91"/>
      <c r="H24" s="83" t="str">
        <f>A8</f>
        <v>Hansard 2 years</v>
      </c>
      <c r="I24" s="78">
        <f>$C$21*(100+$C$22-I8)%-(($X8+$AB8)*(100+$C$22/$H$45)%)</f>
        <v>9337.4781347782937</v>
      </c>
      <c r="J24" s="78">
        <f>$C$21*(100+$C$22-J8)%-(($X8+$AB8)*(100+$C$22/$L$45)%)+I24*(100+$D$22-J8)%</f>
        <v>17481.701218739941</v>
      </c>
      <c r="K24" s="78">
        <f t="shared" ref="K24:R24" si="35">(J24*(100+$D$22-K8)%)</f>
        <v>16823.585052518611</v>
      </c>
      <c r="L24" s="78">
        <f t="shared" si="35"/>
        <v>16190.244329077274</v>
      </c>
      <c r="M24" s="78">
        <f t="shared" si="35"/>
        <v>15580.746352037315</v>
      </c>
      <c r="N24" s="78">
        <f t="shared" si="35"/>
        <v>14994.193537310231</v>
      </c>
      <c r="O24" s="78">
        <f t="shared" si="35"/>
        <v>14429.722091260282</v>
      </c>
      <c r="P24" s="78">
        <f t="shared" si="35"/>
        <v>13886.500738629022</v>
      </c>
      <c r="Q24" s="78">
        <f t="shared" si="35"/>
        <v>13363.729498348384</v>
      </c>
      <c r="R24" s="78">
        <f t="shared" si="35"/>
        <v>12860.638505439521</v>
      </c>
      <c r="S24" s="78">
        <f t="shared" ref="S24:AG24" si="36">(R24*(100+$D$22-$S$8)%)</f>
        <v>12376.486877262436</v>
      </c>
      <c r="T24" s="78">
        <f t="shared" si="36"/>
        <v>11910.561622446779</v>
      </c>
      <c r="U24" s="78">
        <f t="shared" si="36"/>
        <v>11462.176590897054</v>
      </c>
      <c r="V24" s="78">
        <f t="shared" si="36"/>
        <v>11030.671463325907</v>
      </c>
      <c r="W24" s="78">
        <f t="shared" si="36"/>
        <v>10615.41077882747</v>
      </c>
      <c r="X24" s="78">
        <f t="shared" si="36"/>
        <v>10215.782999058672</v>
      </c>
      <c r="Y24" s="78">
        <f t="shared" si="36"/>
        <v>9831.1996076503765</v>
      </c>
      <c r="Z24" s="78">
        <f t="shared" si="36"/>
        <v>9461.0942435220968</v>
      </c>
      <c r="AA24" s="78">
        <f t="shared" si="36"/>
        <v>9104.9218668239519</v>
      </c>
      <c r="AB24" s="78">
        <f t="shared" si="36"/>
        <v>8762.1579562775587</v>
      </c>
      <c r="AC24" s="78">
        <f t="shared" si="36"/>
        <v>8432.2977367338481</v>
      </c>
      <c r="AD24" s="78">
        <f t="shared" si="36"/>
        <v>8114.8554358102265</v>
      </c>
      <c r="AE24" s="78">
        <f t="shared" si="36"/>
        <v>7809.3635685123882</v>
      </c>
      <c r="AF24" s="78">
        <f t="shared" si="36"/>
        <v>7515.3722487872501</v>
      </c>
      <c r="AG24" s="78">
        <f t="shared" si="36"/>
        <v>7232.4485269931674</v>
      </c>
      <c r="AH24" s="78"/>
      <c r="AI24" s="78">
        <v>0</v>
      </c>
      <c r="AJ24" s="78" t="s">
        <v>131</v>
      </c>
      <c r="AK24" s="78">
        <v>0</v>
      </c>
      <c r="AL24" s="75">
        <f t="shared" si="20"/>
        <v>0</v>
      </c>
      <c r="AM24" s="75"/>
      <c r="AN24" s="75"/>
      <c r="AP24" s="75"/>
      <c r="AQ24" s="76"/>
    </row>
    <row r="25" spans="1:43" x14ac:dyDescent="0.25">
      <c r="A25" s="74" t="str">
        <f>Investment_Projections!B32</f>
        <v>Years Completed</v>
      </c>
      <c r="B25" s="75"/>
      <c r="C25" s="81">
        <f>Investment_Projections!C32</f>
        <v>3</v>
      </c>
      <c r="D25" s="75"/>
      <c r="E25" s="90"/>
      <c r="F25" s="91"/>
      <c r="H25" s="83" t="str">
        <f>A9</f>
        <v>Hansard after 2</v>
      </c>
      <c r="I25" s="78"/>
      <c r="J25" s="78"/>
      <c r="K25" s="78">
        <f>$C$21*(100+$C$22-K9)%-(($X9+$AB9)*(100+$C$22/$L$45)%)</f>
        <v>11550.841946564955</v>
      </c>
      <c r="L25" s="78">
        <f t="shared" ref="L25:Q25" si="37">$C$21*(100+$C$22-L9)%-(($X9+$AB9)*(100+$C$22/$L$45)%)+(K25*(100+$D$22-L9)%)</f>
        <v>23577.945317079691</v>
      </c>
      <c r="M25" s="78">
        <f>$C$21*(100+$C$22-M9)%-(($X9+$AB9)*(100+$C$22/$L$45)%)+(L25*(100+$D$22-M9)%)+M34</f>
        <v>38950.94720336765</v>
      </c>
      <c r="N25" s="78">
        <f t="shared" si="37"/>
        <v>52107.804855548369</v>
      </c>
      <c r="O25" s="78">
        <f t="shared" si="37"/>
        <v>65807.142769264974</v>
      </c>
      <c r="P25" s="78">
        <f t="shared" si="37"/>
        <v>80071.32835487758</v>
      </c>
      <c r="Q25" s="78">
        <f t="shared" si="37"/>
        <v>94923.651270211674</v>
      </c>
      <c r="R25" s="78">
        <f>$C$21*(100+$C$22-R9)%-(($X9+$AB9)*(100+$C$22/$L$45)%)+(Q25*(100+$D$22-R9)%)+R34</f>
        <v>113238.36144643481</v>
      </c>
      <c r="S25" s="78">
        <f t="shared" ref="S25:AG25" si="38">$C$21*(100+$C$22-$S$9)%-(($X9+$AB9)*(100+$C$22/$L$45)%)+(R25*(100+$D$22-$S$9)%)</f>
        <v>129458.21916844785</v>
      </c>
      <c r="T25" s="78">
        <f t="shared" si="38"/>
        <v>146346.85000420315</v>
      </c>
      <c r="U25" s="78">
        <f t="shared" si="38"/>
        <v>163931.82863933174</v>
      </c>
      <c r="V25" s="78">
        <f t="shared" si="38"/>
        <v>182241.86671200057</v>
      </c>
      <c r="W25" s="78">
        <f>$C$21*(100+$C$22-$S$9)%-(($X9+$AB9)*(100+$C$22/$L$45)%)+(V25*(100+$D$22-$S$9)%)+W34</f>
        <v>204156.859691455</v>
      </c>
      <c r="X25" s="78">
        <f t="shared" si="38"/>
        <v>224125.44617608661</v>
      </c>
      <c r="Y25" s="78">
        <f t="shared" si="38"/>
        <v>244917.372420489</v>
      </c>
      <c r="Z25" s="78">
        <f t="shared" si="38"/>
        <v>266566.58616355399</v>
      </c>
      <c r="AA25" s="78">
        <f t="shared" si="38"/>
        <v>289108.43486884632</v>
      </c>
      <c r="AB25" s="78">
        <f>$C$21*(100+$C$22-$S$9)%-(($X9+$AB9)*(100+$C$22/$L$45)%)+(AA25*(100+$D$22-$S$9)%)+AB34</f>
        <v>315429.72343770077</v>
      </c>
      <c r="AC25" s="78">
        <f t="shared" si="38"/>
        <v>339986.28478857293</v>
      </c>
      <c r="AD25" s="78">
        <f t="shared" si="38"/>
        <v>365555.35613052454</v>
      </c>
      <c r="AE25" s="78">
        <f t="shared" si="38"/>
        <v>392178.68502207519</v>
      </c>
      <c r="AF25" s="78">
        <f t="shared" si="38"/>
        <v>419899.74034662795</v>
      </c>
      <c r="AG25" s="78">
        <f t="shared" si="38"/>
        <v>448763.7832857059</v>
      </c>
      <c r="AH25" s="78"/>
      <c r="AI25" s="78">
        <v>0</v>
      </c>
      <c r="AJ25" s="78" t="s">
        <v>131</v>
      </c>
      <c r="AK25" s="78">
        <v>0</v>
      </c>
      <c r="AL25" s="75">
        <f t="shared" si="20"/>
        <v>0</v>
      </c>
      <c r="AM25" s="75"/>
      <c r="AN25" s="75"/>
      <c r="AP25" s="75"/>
      <c r="AQ25" s="76"/>
    </row>
    <row r="26" spans="1:43" x14ac:dyDescent="0.25">
      <c r="A26" s="74" t="s">
        <v>116</v>
      </c>
      <c r="B26" s="75"/>
      <c r="C26" s="93">
        <f>C24-C25</f>
        <v>2</v>
      </c>
      <c r="D26" s="75"/>
      <c r="E26" s="90"/>
      <c r="F26" s="91"/>
      <c r="H26" s="83" t="s">
        <v>111</v>
      </c>
      <c r="I26" s="78">
        <f>SUM(I24:I25)</f>
        <v>9337.4781347782937</v>
      </c>
      <c r="J26" s="78">
        <f t="shared" ref="J26:L26" si="39">SUM(J24:J25)</f>
        <v>17481.701218739941</v>
      </c>
      <c r="K26" s="78">
        <f t="shared" si="39"/>
        <v>28374.426999083567</v>
      </c>
      <c r="L26" s="78">
        <f t="shared" si="39"/>
        <v>39768.189646156963</v>
      </c>
      <c r="M26" s="78">
        <f t="shared" ref="M26" si="40">SUM(M24:M25)</f>
        <v>54531.693555404963</v>
      </c>
      <c r="N26" s="78">
        <f t="shared" ref="N26:O26" si="41">SUM(N24:N25)</f>
        <v>67101.998392858601</v>
      </c>
      <c r="O26" s="78">
        <f t="shared" si="41"/>
        <v>80236.864860525253</v>
      </c>
      <c r="P26" s="78">
        <f t="shared" ref="P26" si="42">SUM(P24:P25)</f>
        <v>93957.829093506603</v>
      </c>
      <c r="Q26" s="78">
        <f t="shared" ref="Q26:S26" si="43">SUM(Q24:Q25)</f>
        <v>108287.38076856006</v>
      </c>
      <c r="R26" s="78">
        <f t="shared" si="43"/>
        <v>126098.99995187433</v>
      </c>
      <c r="S26" s="78">
        <f t="shared" si="43"/>
        <v>141834.70604571028</v>
      </c>
      <c r="T26" s="78">
        <f t="shared" ref="T26" si="44">SUM(T24:T25)</f>
        <v>158257.41162664993</v>
      </c>
      <c r="U26" s="78">
        <f t="shared" ref="U26" si="45">SUM(U24:U25)</f>
        <v>175394.00523022879</v>
      </c>
      <c r="V26" s="78">
        <f t="shared" ref="V26" si="46">SUM(V24:V25)</f>
        <v>193272.53817532648</v>
      </c>
      <c r="W26" s="78">
        <f t="shared" ref="W26" si="47">SUM(W24:W25)</f>
        <v>214772.27047028247</v>
      </c>
      <c r="X26" s="78">
        <f t="shared" ref="X26" si="48">SUM(X24:X25)</f>
        <v>234341.22917514527</v>
      </c>
      <c r="Y26" s="78">
        <f t="shared" ref="Y26" si="49">SUM(Y24:Y25)</f>
        <v>254748.57202813937</v>
      </c>
      <c r="Z26" s="78">
        <f t="shared" ref="Z26" si="50">SUM(Z24:Z25)</f>
        <v>276027.68040707608</v>
      </c>
      <c r="AA26" s="78">
        <f t="shared" ref="AA26" si="51">SUM(AA24:AA25)</f>
        <v>298213.3567356703</v>
      </c>
      <c r="AB26" s="78">
        <f t="shared" ref="AB26" si="52">SUM(AB24:AB25)</f>
        <v>324191.88139397831</v>
      </c>
      <c r="AC26" s="78">
        <f t="shared" ref="AC26" si="53">SUM(AC24:AC25)</f>
        <v>348418.58252530679</v>
      </c>
      <c r="AD26" s="78">
        <f t="shared" ref="AD26" si="54">SUM(AD24:AD25)</f>
        <v>373670.21156633476</v>
      </c>
      <c r="AE26" s="78">
        <f t="shared" ref="AE26" si="55">SUM(AE24:AE25)</f>
        <v>399988.04859058757</v>
      </c>
      <c r="AF26" s="78">
        <f t="shared" ref="AF26" si="56">SUM(AF24:AF25)</f>
        <v>427415.11259541521</v>
      </c>
      <c r="AG26" s="78">
        <f t="shared" ref="AG26" si="57">SUM(AG24:AG25)</f>
        <v>455996.23181269906</v>
      </c>
      <c r="AH26" s="78"/>
      <c r="AI26" s="78">
        <f>HLOOKUP($C$24,$I$17:$AH$33,10)</f>
        <v>54531.693555404963</v>
      </c>
      <c r="AJ26" s="78" t="str">
        <f t="shared" si="26"/>
        <v>Hansard</v>
      </c>
      <c r="AK26" s="78">
        <f>HLOOKUP($C$25,$I$17:$AH$33,10)</f>
        <v>28374.426999083567</v>
      </c>
      <c r="AL26" s="75">
        <f t="shared" ref="AL26:AL30" si="58">IF(AJ26=$C$30,AK26,0)</f>
        <v>0</v>
      </c>
      <c r="AM26" s="75"/>
      <c r="AN26" s="75"/>
      <c r="AP26" s="75"/>
      <c r="AQ26" s="76"/>
    </row>
    <row r="27" spans="1:43" x14ac:dyDescent="0.25">
      <c r="C27" s="81">
        <f>Investment_Projections!C35</f>
        <v>5</v>
      </c>
      <c r="D27" s="75" t="s">
        <v>59</v>
      </c>
      <c r="E27" s="81" t="b">
        <v>0</v>
      </c>
      <c r="F27" s="92" t="b">
        <v>0</v>
      </c>
      <c r="H27" s="83" t="str">
        <f>A10</f>
        <v>Ascentric</v>
      </c>
      <c r="I27" s="78">
        <f>$D$21*(100+$C$22-I10)%-(($X10+$AB10)*(100+$C$22/$H$45)%)</f>
        <v>12224.659127490373</v>
      </c>
      <c r="J27" s="78">
        <f>$D$21*(100+$C$22-J10)%-(($X10+$AB10)*(100+$C$22/$L$45)%)+I27*(100+$D$22-J10)%</f>
        <v>25194.672178811954</v>
      </c>
      <c r="K27" s="78">
        <f t="shared" ref="K27:R27" si="59">$D$21*(100+$C$22-K10)%-(($X10+$AB10)*(100+$C$22/$L$45)%)+J27*(100+$D$22-K10)%</f>
        <v>38958.228727049696</v>
      </c>
      <c r="L27" s="78">
        <f t="shared" si="59"/>
        <v>53563.880094319175</v>
      </c>
      <c r="M27" s="78">
        <f t="shared" si="59"/>
        <v>69063.148115238844</v>
      </c>
      <c r="N27" s="78">
        <f t="shared" si="59"/>
        <v>85510.706881610618</v>
      </c>
      <c r="O27" s="78">
        <f t="shared" si="59"/>
        <v>102964.5756067739</v>
      </c>
      <c r="P27" s="78">
        <f t="shared" si="59"/>
        <v>121486.32328996726</v>
      </c>
      <c r="Q27" s="78">
        <f t="shared" si="59"/>
        <v>141141.28590265696</v>
      </c>
      <c r="R27" s="78">
        <f t="shared" si="59"/>
        <v>161998.79686296309</v>
      </c>
      <c r="S27" s="78">
        <f>$D$21*(100+$C$22-$S$10)%-(($X10+$AB10)*(100+$C$22/$L$45)%)+R27*(100+$D$22-$S$10)%</f>
        <v>184132.43161118802</v>
      </c>
      <c r="T27" s="78">
        <f>$D$21*(100+$C$22-$S$10)%-(($X10+$AB10)*(100+$C$22/$L$45)%)+S27*(100+$D$22-$S$10)%</f>
        <v>207620.26714919409</v>
      </c>
      <c r="U27" s="78">
        <f t="shared" ref="U27:AG27" si="60">$D$21*(100+$C$22-$S$10)%-(($X10+$AB10)*(100+$C$22/$L$45)%)+T27*(100+$D$22-$S$10)%</f>
        <v>232545.1574591629</v>
      </c>
      <c r="V27" s="78">
        <f t="shared" si="60"/>
        <v>258995.02577328333</v>
      </c>
      <c r="W27" s="78">
        <f t="shared" si="60"/>
        <v>287063.17472535733</v>
      </c>
      <c r="X27" s="78">
        <f t="shared" si="60"/>
        <v>316848.6154783924</v>
      </c>
      <c r="Y27" s="78">
        <f t="shared" si="60"/>
        <v>348456.4169891866</v>
      </c>
      <c r="Z27" s="78">
        <f t="shared" si="60"/>
        <v>381998.07664194715</v>
      </c>
      <c r="AA27" s="78">
        <f t="shared" si="60"/>
        <v>417591.91355836211</v>
      </c>
      <c r="AB27" s="78">
        <f t="shared" si="60"/>
        <v>455363.485971538</v>
      </c>
      <c r="AC27" s="78">
        <f t="shared" si="60"/>
        <v>495446.03413610061</v>
      </c>
      <c r="AD27" s="78">
        <f t="shared" si="60"/>
        <v>537980.95033683698</v>
      </c>
      <c r="AE27" s="78">
        <f t="shared" si="60"/>
        <v>583118.27765384654</v>
      </c>
      <c r="AF27" s="78">
        <f t="shared" si="60"/>
        <v>631017.23924360948</v>
      </c>
      <c r="AG27" s="78">
        <f t="shared" si="60"/>
        <v>681846.80000302556</v>
      </c>
      <c r="AH27" s="78"/>
      <c r="AI27" s="78">
        <f>HLOOKUP($C$24,$I$17:$AH$33,11)</f>
        <v>69063.148115238844</v>
      </c>
      <c r="AJ27" s="78" t="str">
        <f t="shared" si="26"/>
        <v>Ascentric</v>
      </c>
      <c r="AK27" s="78">
        <f>HLOOKUP($C$25,$I$17:$AH$33,11)</f>
        <v>38958.228727049696</v>
      </c>
      <c r="AL27" s="75">
        <f t="shared" si="58"/>
        <v>0</v>
      </c>
      <c r="AM27" s="75"/>
      <c r="AN27" s="75"/>
      <c r="AP27" s="75"/>
      <c r="AQ27" s="76"/>
    </row>
    <row r="28" spans="1:43" x14ac:dyDescent="0.25">
      <c r="A28" s="74" t="s">
        <v>136</v>
      </c>
      <c r="C28" s="81">
        <f>IF(E22,1,0)</f>
        <v>0</v>
      </c>
      <c r="D28" s="75">
        <v>7</v>
      </c>
      <c r="H28" s="83" t="str">
        <f>A11</f>
        <v>Royal London&lt;2</v>
      </c>
      <c r="I28" s="78">
        <f>$C$21*(100+$C$22-I11)%-(($X11+$AB11)*(100+$C$22/$H$45)%)</f>
        <v>10662.515498353316</v>
      </c>
      <c r="J28" s="78">
        <f>$C$21*(100+$C$22-J11)%-(($X11+$AB11)*(100+$C$22/$L$45)%)+I28*(100+$D$22-J11)%</f>
        <v>21621.212499819594</v>
      </c>
      <c r="K28" s="78">
        <f>(J28*(100+$D$22-K11)%)</f>
        <v>20961.50871781493</v>
      </c>
      <c r="L28" s="78">
        <f t="shared" ref="L28:R28" si="61">(K28*(100+$D$22-L11)%)</f>
        <v>20321.933736634684</v>
      </c>
      <c r="M28" s="78">
        <f t="shared" si="61"/>
        <v>19701.873388778709</v>
      </c>
      <c r="N28" s="78">
        <f t="shared" si="61"/>
        <v>19100.732246150248</v>
      </c>
      <c r="O28" s="78">
        <f t="shared" si="61"/>
        <v>18517.933048281539</v>
      </c>
      <c r="P28" s="78">
        <f t="shared" si="61"/>
        <v>17952.916148005366</v>
      </c>
      <c r="Q28" s="78">
        <f t="shared" si="61"/>
        <v>17405.13897404019</v>
      </c>
      <c r="R28" s="78">
        <f t="shared" si="61"/>
        <v>16874.075509972812</v>
      </c>
      <c r="S28" s="78">
        <f>(R28*(100+$D$22-$S$11)%)</f>
        <v>16359.215789138274</v>
      </c>
      <c r="T28" s="78">
        <f t="shared" ref="T28:AG28" si="62">(S28*(100+$D$22-$S$11)%)</f>
        <v>15860.065404911906</v>
      </c>
      <c r="U28" s="78">
        <f t="shared" si="62"/>
        <v>15376.145035943282</v>
      </c>
      <c r="V28" s="78">
        <f t="shared" si="62"/>
        <v>14906.989985876195</v>
      </c>
      <c r="W28" s="78">
        <f t="shared" si="62"/>
        <v>14452.149737112615</v>
      </c>
      <c r="X28" s="78">
        <f t="shared" si="62"/>
        <v>14011.187518192171</v>
      </c>
      <c r="Y28" s="78">
        <f t="shared" si="62"/>
        <v>13583.679884371681</v>
      </c>
      <c r="Z28" s="78">
        <f t="shared" si="62"/>
        <v>13169.21631100199</v>
      </c>
      <c r="AA28" s="78">
        <f t="shared" si="62"/>
        <v>12767.398799311653</v>
      </c>
      <c r="AB28" s="78">
        <f t="shared" si="62"/>
        <v>12377.84149421889</v>
      </c>
      <c r="AC28" s="78">
        <f t="shared" si="62"/>
        <v>12000.170313804814</v>
      </c>
      <c r="AD28" s="78">
        <f t="shared" si="62"/>
        <v>11634.022590092132</v>
      </c>
      <c r="AE28" s="78">
        <f t="shared" si="62"/>
        <v>11279.046720784363</v>
      </c>
      <c r="AF28" s="78">
        <f t="shared" si="62"/>
        <v>10934.901831631138</v>
      </c>
      <c r="AG28" s="78">
        <f t="shared" si="62"/>
        <v>10601.257449095378</v>
      </c>
      <c r="AH28" s="78"/>
      <c r="AI28" s="78">
        <v>0</v>
      </c>
      <c r="AJ28" s="78" t="s">
        <v>131</v>
      </c>
      <c r="AK28" s="78">
        <v>0</v>
      </c>
      <c r="AL28" s="75">
        <f t="shared" si="58"/>
        <v>0</v>
      </c>
      <c r="AM28" s="75"/>
      <c r="AN28" s="75"/>
      <c r="AP28" s="75"/>
      <c r="AQ28" s="76"/>
    </row>
    <row r="29" spans="1:43" x14ac:dyDescent="0.25">
      <c r="A29" s="74" t="s">
        <v>127</v>
      </c>
      <c r="C29" s="80">
        <f>C21*C25</f>
        <v>34200</v>
      </c>
      <c r="D29" s="75"/>
      <c r="H29" s="83" t="str">
        <f>A12</f>
        <v>Royal London&gt;2</v>
      </c>
      <c r="I29" s="78"/>
      <c r="J29" s="78"/>
      <c r="K29" s="78">
        <f>$C$21*(100+$C$22-K12)%-(($X12+$AB12)*(100+$C$22/$L$45)%)</f>
        <v>11503.712919847434</v>
      </c>
      <c r="L29" s="78">
        <f>$C$21*(100+$C$22-L12)%-(($X14+$AB14)*(100+$C$22/$L$45)%)+(K29*(100+$D$22-L12)%)</f>
        <v>23434.186262503579</v>
      </c>
      <c r="M29" s="78">
        <f t="shared" ref="M29:R29" si="63">$C$21*(100+$C$22-M12)%-(($X14+$AB14)*(100+$C$22/$L$45)%)+(L29*(100+$D$22-M12)%)</f>
        <v>35807.251825905754</v>
      </c>
      <c r="N29" s="78">
        <f t="shared" si="63"/>
        <v>48639.328730087065</v>
      </c>
      <c r="O29" s="78">
        <f t="shared" si="63"/>
        <v>61947.445205431024</v>
      </c>
      <c r="P29" s="78">
        <f t="shared" si="63"/>
        <v>75749.261189218611</v>
      </c>
      <c r="Q29" s="78">
        <f t="shared" si="63"/>
        <v>90063.091760453623</v>
      </c>
      <c r="R29" s="78">
        <f t="shared" si="63"/>
        <v>104907.93144406428</v>
      </c>
      <c r="S29" s="78">
        <f>$C$21*(100+$C$22-$S$12)%-(($X14+$AB14)*(100+$C$22/$L$45)%)+(R29*(100+$D$22-$S$12)%)</f>
        <v>120303.47941673308</v>
      </c>
      <c r="T29" s="78">
        <f>$C$21*(100+$C$22-$S$12)%-(($X14+$AB14)*(100+$C$22/$L$45)%)+(S29*(100+$D$22-$S$12)%)</f>
        <v>136270.16564780299</v>
      </c>
      <c r="U29" s="78">
        <f t="shared" ref="U29:AG29" si="64">$C$21*(100+$C$22-$S$12)%-(($X14+$AB14)*(100+$C$22/$L$45)%)+(T29*(100+$D$22-$S$12)%)</f>
        <v>152829.17800994919</v>
      </c>
      <c r="V29" s="78">
        <f t="shared" si="64"/>
        <v>170002.49039559232</v>
      </c>
      <c r="W29" s="78">
        <f t="shared" si="64"/>
        <v>187812.89187636389</v>
      </c>
      <c r="X29" s="78">
        <f t="shared" si="64"/>
        <v>206284.01694431866</v>
      </c>
      <c r="Y29" s="78">
        <f t="shared" si="64"/>
        <v>225440.37687502394</v>
      </c>
      <c r="Z29" s="78">
        <f t="shared" si="64"/>
        <v>245307.39225414526</v>
      </c>
      <c r="AA29" s="78">
        <f t="shared" si="64"/>
        <v>265911.42671069101</v>
      </c>
      <c r="AB29" s="78">
        <f t="shared" si="64"/>
        <v>287279.82190168014</v>
      </c>
      <c r="AC29" s="78">
        <f t="shared" si="64"/>
        <v>309440.93379465834</v>
      </c>
      <c r="AD29" s="78">
        <f t="shared" si="64"/>
        <v>332424.17029620893</v>
      </c>
      <c r="AE29" s="78">
        <f t="shared" si="64"/>
        <v>356260.03027639241</v>
      </c>
      <c r="AF29" s="78">
        <f t="shared" si="64"/>
        <v>380980.14404089993</v>
      </c>
      <c r="AG29" s="78">
        <f t="shared" si="64"/>
        <v>406617.31530462747</v>
      </c>
      <c r="AH29" s="78"/>
      <c r="AI29" s="78">
        <v>0</v>
      </c>
      <c r="AJ29" s="78" t="s">
        <v>131</v>
      </c>
      <c r="AK29" s="78">
        <v>0</v>
      </c>
      <c r="AL29" s="75">
        <f t="shared" si="58"/>
        <v>0</v>
      </c>
      <c r="AM29" s="75"/>
      <c r="AN29" s="75"/>
      <c r="AP29" s="75"/>
      <c r="AQ29" s="76"/>
    </row>
    <row r="30" spans="1:43" x14ac:dyDescent="0.25">
      <c r="A30" s="74" t="s">
        <v>130</v>
      </c>
      <c r="C30" s="81" t="str">
        <f>Investment_Projections!C31</f>
        <v>Royal London</v>
      </c>
      <c r="D30" s="75"/>
      <c r="H30" s="83" t="s">
        <v>110</v>
      </c>
      <c r="I30" s="78">
        <f>SUM(I28:I29)</f>
        <v>10662.515498353316</v>
      </c>
      <c r="J30" s="78">
        <f t="shared" ref="J30" si="65">SUM(J28:J29)</f>
        <v>21621.212499819594</v>
      </c>
      <c r="K30" s="78">
        <f t="shared" ref="K30" si="66">SUM(K28:K29)</f>
        <v>32465.221637662362</v>
      </c>
      <c r="L30" s="78">
        <f t="shared" ref="L30" si="67">SUM(L28:L29)</f>
        <v>43756.11999913826</v>
      </c>
      <c r="M30" s="78">
        <f t="shared" ref="M30" si="68">SUM(M28:M29)</f>
        <v>55509.125214684464</v>
      </c>
      <c r="N30" s="78">
        <f t="shared" ref="N30" si="69">SUM(N28:N29)</f>
        <v>67740.060976237321</v>
      </c>
      <c r="O30" s="78">
        <f t="shared" ref="O30" si="70">SUM(O28:O29)</f>
        <v>80465.378253712566</v>
      </c>
      <c r="P30" s="78">
        <f t="shared" ref="P30" si="71">SUM(P28:P29)</f>
        <v>93702.177337223984</v>
      </c>
      <c r="Q30" s="78">
        <f t="shared" ref="Q30" si="72">SUM(Q28:Q29)</f>
        <v>107468.23073449382</v>
      </c>
      <c r="R30" s="78">
        <f t="shared" ref="R30" si="73">SUM(R28:R29)</f>
        <v>121782.00695403709</v>
      </c>
      <c r="S30" s="78">
        <f t="shared" ref="S30" si="74">SUM(S28:S29)</f>
        <v>136662.69520587137</v>
      </c>
      <c r="T30" s="78">
        <f t="shared" ref="T30" si="75">SUM(T28:T29)</f>
        <v>152130.23105271489</v>
      </c>
      <c r="U30" s="78">
        <f t="shared" ref="U30" si="76">SUM(U28:U29)</f>
        <v>168205.32304589247</v>
      </c>
      <c r="V30" s="78">
        <f t="shared" ref="V30" si="77">SUM(V28:V29)</f>
        <v>184909.48038146851</v>
      </c>
      <c r="W30" s="78">
        <f t="shared" ref="W30" si="78">SUM(W28:W29)</f>
        <v>202265.0416134765</v>
      </c>
      <c r="X30" s="78">
        <f t="shared" ref="X30" si="79">SUM(X28:X29)</f>
        <v>220295.20446251082</v>
      </c>
      <c r="Y30" s="78">
        <f t="shared" ref="Y30" si="80">SUM(Y28:Y29)</f>
        <v>239024.05675939561</v>
      </c>
      <c r="Z30" s="78">
        <f t="shared" ref="Z30" si="81">SUM(Z28:Z29)</f>
        <v>258476.60856514727</v>
      </c>
      <c r="AA30" s="78">
        <f t="shared" ref="AA30" si="82">SUM(AA28:AA29)</f>
        <v>278678.82551000267</v>
      </c>
      <c r="AB30" s="78">
        <f t="shared" ref="AB30" si="83">SUM(AB28:AB29)</f>
        <v>299657.66339589906</v>
      </c>
      <c r="AC30" s="78">
        <f t="shared" ref="AC30" si="84">SUM(AC28:AC29)</f>
        <v>321441.10410846316</v>
      </c>
      <c r="AD30" s="78">
        <f t="shared" ref="AD30" si="85">SUM(AD28:AD29)</f>
        <v>344058.19288630108</v>
      </c>
      <c r="AE30" s="78">
        <f t="shared" ref="AE30" si="86">SUM(AE28:AE29)</f>
        <v>367539.0769971768</v>
      </c>
      <c r="AF30" s="78">
        <f t="shared" ref="AF30" si="87">SUM(AF28:AF29)</f>
        <v>391915.04587253107</v>
      </c>
      <c r="AG30" s="78">
        <f t="shared" ref="AG30" si="88">SUM(AG28:AG29)</f>
        <v>417218.57275372284</v>
      </c>
      <c r="AH30" s="78"/>
      <c r="AI30" s="78">
        <f>HLOOKUP($C$24,$I$17:$AH$33,14)</f>
        <v>55509.125214684464</v>
      </c>
      <c r="AJ30" s="78" t="str">
        <f t="shared" si="26"/>
        <v>Royal London</v>
      </c>
      <c r="AK30" s="78">
        <f>HLOOKUP($C$25,$I$17:$AH$33,14)</f>
        <v>32465.221637662362</v>
      </c>
      <c r="AL30" s="75">
        <f t="shared" si="58"/>
        <v>32465.221637662362</v>
      </c>
      <c r="AM30" s="75"/>
      <c r="AN30" s="75"/>
      <c r="AP30" s="75"/>
      <c r="AQ30" s="76"/>
    </row>
    <row r="31" spans="1:43" x14ac:dyDescent="0.25">
      <c r="C31" s="81"/>
      <c r="D31" s="75"/>
      <c r="H31" s="83" t="str">
        <f>A13</f>
        <v>F Prov&lt;2</v>
      </c>
      <c r="I31" s="78">
        <f>$C$21*(100+$C$22-I13)%-(($X13+$AB13)*(100+$C$22/$H$45)%)</f>
        <v>10911.167576452919</v>
      </c>
      <c r="J31" s="78">
        <f>$C$21*(100+$C$22-J13)%-(($X13+$AB13)*(100+$C$22/$L$45)%)+I31*(100+$D$22-J13)%</f>
        <v>21713.919166639284</v>
      </c>
      <c r="K31" s="78">
        <f t="shared" ref="K31:R31" si="89">(J31*(100+$D$22-K13)%)</f>
        <v>21498.164441430603</v>
      </c>
      <c r="L31" s="78">
        <f t="shared" si="89"/>
        <v>21284.553507082182</v>
      </c>
      <c r="M31" s="78">
        <f t="shared" si="89"/>
        <v>21073.065062372239</v>
      </c>
      <c r="N31" s="78">
        <f t="shared" si="89"/>
        <v>20863.678017733055</v>
      </c>
      <c r="O31" s="78">
        <f t="shared" si="89"/>
        <v>20656.37149314793</v>
      </c>
      <c r="P31" s="78">
        <f t="shared" si="89"/>
        <v>20451.12481606903</v>
      </c>
      <c r="Q31" s="78">
        <f t="shared" si="89"/>
        <v>20247.917519355939</v>
      </c>
      <c r="R31" s="78">
        <f t="shared" si="89"/>
        <v>20046.729339234662</v>
      </c>
      <c r="S31" s="78">
        <f>(R31*(100+$D$22-$S$13)%)</f>
        <v>19847.540213276949</v>
      </c>
      <c r="T31" s="78">
        <f t="shared" ref="T31:AG31" si="90">(S31*(100+$D$22-$S$13)%)</f>
        <v>19650.330278399655</v>
      </c>
      <c r="U31" s="78">
        <f t="shared" si="90"/>
        <v>19455.079868884011</v>
      </c>
      <c r="V31" s="78">
        <f t="shared" si="90"/>
        <v>19261.769514414565</v>
      </c>
      <c r="W31" s="78">
        <f t="shared" si="90"/>
        <v>19070.379938137597</v>
      </c>
      <c r="X31" s="78">
        <f t="shared" si="90"/>
        <v>18880.892054738848</v>
      </c>
      <c r="Y31" s="78">
        <f t="shared" si="90"/>
        <v>18693.286968540335</v>
      </c>
      <c r="Z31" s="78">
        <f t="shared" si="90"/>
        <v>18507.545971616073</v>
      </c>
      <c r="AA31" s="78">
        <f t="shared" si="90"/>
        <v>18323.650541926534</v>
      </c>
      <c r="AB31" s="78">
        <f t="shared" si="90"/>
        <v>18141.582341471632</v>
      </c>
      <c r="AC31" s="78">
        <f t="shared" si="90"/>
        <v>17961.32321446206</v>
      </c>
      <c r="AD31" s="78">
        <f t="shared" si="90"/>
        <v>17782.855185508801</v>
      </c>
      <c r="AE31" s="78">
        <f t="shared" si="90"/>
        <v>17606.160457830629</v>
      </c>
      <c r="AF31" s="78">
        <f t="shared" si="90"/>
        <v>17431.221411479419</v>
      </c>
      <c r="AG31" s="78">
        <f t="shared" si="90"/>
        <v>17258.020601583088</v>
      </c>
      <c r="AH31" s="78"/>
      <c r="AI31" s="78">
        <v>0</v>
      </c>
      <c r="AJ31" s="78" t="s">
        <v>131</v>
      </c>
      <c r="AK31" s="78">
        <v>0</v>
      </c>
      <c r="AL31" s="75">
        <f>IF(AJ31=$C$30,AK31,0)</f>
        <v>0</v>
      </c>
      <c r="AM31" s="75"/>
      <c r="AN31" s="75"/>
      <c r="AP31" s="75"/>
      <c r="AQ31" s="76"/>
    </row>
    <row r="32" spans="1:43" x14ac:dyDescent="0.25">
      <c r="C32" s="81"/>
      <c r="D32" s="75"/>
      <c r="H32" s="83" t="s">
        <v>120</v>
      </c>
      <c r="I32" s="78"/>
      <c r="J32" s="78"/>
      <c r="K32" s="78">
        <f>$C$21*(100+$C$22-K14)%-(($X14+$AB14)*(100+$C$22/$L$45)%)</f>
        <v>11525.150335877946</v>
      </c>
      <c r="L32" s="78">
        <f t="shared" ref="L32:R32" si="91">$C$21*(100+$C$22-L14)%-(($X14+$AB14)*(100+$C$22/$L$45)%)+(K32*(100+$D$22-L14)%)</f>
        <v>23499.529129895469</v>
      </c>
      <c r="M32" s="78">
        <f t="shared" si="91"/>
        <v>35940.64645365435</v>
      </c>
      <c r="N32" s="78">
        <f t="shared" si="91"/>
        <v>48866.694888071928</v>
      </c>
      <c r="O32" s="78">
        <f t="shared" si="91"/>
        <v>62296.57612629723</v>
      </c>
      <c r="P32" s="78">
        <f t="shared" si="91"/>
        <v>76249.928613558179</v>
      </c>
      <c r="Q32" s="78">
        <f t="shared" si="91"/>
        <v>90747.156264357531</v>
      </c>
      <c r="R32" s="78">
        <f t="shared" si="91"/>
        <v>105809.45829901054</v>
      </c>
      <c r="S32" s="78">
        <f>$C$21*(100+$C$22-$S$14)%-(($X14+$AB14)*(100+$C$22/$L$45)%)+(R32*(100+$D$22-$S$14)%)</f>
        <v>121458.86024315418</v>
      </c>
      <c r="T32" s="78">
        <f t="shared" ref="T32:AG32" si="92">$C$21*(100+$C$22-$S$14)%-(($X14+$AB14)*(100+$C$22/$L$45)%)+(S32*(100+$D$22-$S$14)%)</f>
        <v>137718.24613555829</v>
      </c>
      <c r="U32" s="78">
        <f t="shared" si="92"/>
        <v>154611.39199133599</v>
      </c>
      <c r="V32" s="78">
        <f t="shared" si="92"/>
        <v>172163.0005694865</v>
      </c>
      <c r="W32" s="78">
        <f t="shared" si="92"/>
        <v>190398.73749561064</v>
      </c>
      <c r="X32" s="78">
        <f t="shared" si="92"/>
        <v>209345.26879262118</v>
      </c>
      <c r="Y32" s="78">
        <f t="shared" si="92"/>
        <v>229030.29987432898</v>
      </c>
      <c r="Z32" s="78">
        <f t="shared" si="92"/>
        <v>249482.6160589249</v>
      </c>
      <c r="AA32" s="78">
        <f t="shared" si="92"/>
        <v>270732.12466160039</v>
      </c>
      <c r="AB32" s="78">
        <f t="shared" si="92"/>
        <v>292809.89872785838</v>
      </c>
      <c r="AC32" s="78">
        <f t="shared" si="92"/>
        <v>315748.22247146541</v>
      </c>
      <c r="AD32" s="78">
        <f t="shared" si="92"/>
        <v>339580.63848348899</v>
      </c>
      <c r="AE32" s="78">
        <f t="shared" si="92"/>
        <v>364341.99678145343</v>
      </c>
      <c r="AF32" s="78">
        <f t="shared" si="92"/>
        <v>390068.50577033847</v>
      </c>
      <c r="AG32" s="78">
        <f t="shared" si="92"/>
        <v>416797.78518994089</v>
      </c>
      <c r="AH32" s="78"/>
      <c r="AI32" s="78">
        <v>0</v>
      </c>
      <c r="AJ32" s="78" t="s">
        <v>131</v>
      </c>
      <c r="AK32" s="78">
        <v>0</v>
      </c>
      <c r="AL32" s="75">
        <f t="shared" ref="AL32:AL33" si="93">IF(AJ32=$C$30,AK32,0)</f>
        <v>0</v>
      </c>
      <c r="AM32" s="75"/>
      <c r="AN32" s="75"/>
      <c r="AP32" s="75"/>
      <c r="AQ32" s="76"/>
    </row>
    <row r="33" spans="1:48" x14ac:dyDescent="0.25">
      <c r="H33" s="83" t="str">
        <f>A14</f>
        <v>Friends Provident</v>
      </c>
      <c r="I33" s="78">
        <f>SUM(I31:I32)</f>
        <v>10911.167576452919</v>
      </c>
      <c r="J33" s="78">
        <f t="shared" ref="J33:AG33" si="94">SUM(J31:J32)</f>
        <v>21713.919166639284</v>
      </c>
      <c r="K33" s="78">
        <f t="shared" si="94"/>
        <v>33023.314777308551</v>
      </c>
      <c r="L33" s="78">
        <f t="shared" si="94"/>
        <v>44784.082636977648</v>
      </c>
      <c r="M33" s="78">
        <f t="shared" si="94"/>
        <v>57013.711516026589</v>
      </c>
      <c r="N33" s="78">
        <f t="shared" si="94"/>
        <v>69730.372905804979</v>
      </c>
      <c r="O33" s="78">
        <f t="shared" si="94"/>
        <v>82952.947619445156</v>
      </c>
      <c r="P33" s="78">
        <f t="shared" si="94"/>
        <v>96701.053429627209</v>
      </c>
      <c r="Q33" s="78">
        <f t="shared" si="94"/>
        <v>110995.07378371347</v>
      </c>
      <c r="R33" s="78">
        <f t="shared" si="94"/>
        <v>125856.1876382452</v>
      </c>
      <c r="S33" s="78">
        <f t="shared" si="94"/>
        <v>141306.40045643112</v>
      </c>
      <c r="T33" s="78">
        <f t="shared" si="94"/>
        <v>157368.57641395796</v>
      </c>
      <c r="U33" s="78">
        <f t="shared" si="94"/>
        <v>174066.47186021999</v>
      </c>
      <c r="V33" s="78">
        <f t="shared" si="94"/>
        <v>191424.77008390106</v>
      </c>
      <c r="W33" s="78">
        <f t="shared" si="94"/>
        <v>209469.11743374824</v>
      </c>
      <c r="X33" s="78">
        <f t="shared" si="94"/>
        <v>228226.16084736004</v>
      </c>
      <c r="Y33" s="78">
        <f t="shared" si="94"/>
        <v>247723.58684286932</v>
      </c>
      <c r="Z33" s="78">
        <f t="shared" si="94"/>
        <v>267990.16203054099</v>
      </c>
      <c r="AA33" s="78">
        <f t="shared" si="94"/>
        <v>289055.77520352695</v>
      </c>
      <c r="AB33" s="78">
        <f t="shared" si="94"/>
        <v>310951.48106933001</v>
      </c>
      <c r="AC33" s="78">
        <f t="shared" si="94"/>
        <v>333709.5456859275</v>
      </c>
      <c r="AD33" s="78">
        <f t="shared" si="94"/>
        <v>357363.49366899778</v>
      </c>
      <c r="AE33" s="78">
        <f t="shared" si="94"/>
        <v>381948.15723928408</v>
      </c>
      <c r="AF33" s="78">
        <f t="shared" si="94"/>
        <v>407499.72718181787</v>
      </c>
      <c r="AG33" s="78">
        <f t="shared" si="94"/>
        <v>434055.80579152395</v>
      </c>
      <c r="AH33" s="82"/>
      <c r="AI33" s="82">
        <f>HLOOKUP($C$24,$I$17:$AH$33,17)</f>
        <v>57013.711516026589</v>
      </c>
      <c r="AJ33" s="78" t="str">
        <f t="shared" si="26"/>
        <v>Friends Provident</v>
      </c>
      <c r="AK33" s="82">
        <f>HLOOKUP($C$25,$I$17:$AH$33,17)</f>
        <v>33023.314777308551</v>
      </c>
      <c r="AL33" s="75">
        <f t="shared" si="93"/>
        <v>0</v>
      </c>
      <c r="AM33" s="75"/>
      <c r="AN33" s="75"/>
      <c r="AP33" s="75"/>
      <c r="AQ33" s="76"/>
    </row>
    <row r="34" spans="1:48" x14ac:dyDescent="0.25">
      <c r="H34" s="83" t="s">
        <v>124</v>
      </c>
      <c r="I34" s="78"/>
      <c r="J34" s="78"/>
      <c r="K34" s="78"/>
      <c r="L34" s="78"/>
      <c r="M34" s="78">
        <f>$C$21*5*5%</f>
        <v>2850</v>
      </c>
      <c r="N34" s="78"/>
      <c r="O34" s="78"/>
      <c r="P34" s="78"/>
      <c r="Q34" s="78"/>
      <c r="R34" s="78">
        <f>$C$21*5*5%</f>
        <v>2850</v>
      </c>
      <c r="S34" s="78"/>
      <c r="T34" s="78"/>
      <c r="U34" s="78"/>
      <c r="V34" s="78"/>
      <c r="W34" s="78">
        <f>$C$21*5*5%</f>
        <v>2850</v>
      </c>
      <c r="X34" s="78"/>
      <c r="Y34" s="78"/>
      <c r="Z34" s="78"/>
      <c r="AA34" s="78"/>
      <c r="AB34" s="78">
        <f>$C$21*5*5%</f>
        <v>2850</v>
      </c>
      <c r="AC34" s="78"/>
      <c r="AD34" s="78"/>
      <c r="AE34" s="78"/>
      <c r="AF34" s="78"/>
      <c r="AG34" s="78"/>
      <c r="AH34" s="82"/>
      <c r="AI34" s="82"/>
      <c r="AJ34" s="82"/>
      <c r="AK34" s="75">
        <f>VLOOKUP($C$30,$AJ$18:$AK$33,2)</f>
        <v>33674.131205768412</v>
      </c>
      <c r="AL34" s="74">
        <f>SUM(AL18:AL33)</f>
        <v>32465.221637662362</v>
      </c>
      <c r="AM34" s="75"/>
      <c r="AN34" s="75"/>
      <c r="AP34" s="75"/>
      <c r="AQ34" s="76"/>
    </row>
    <row r="35" spans="1:48" x14ac:dyDescent="0.25">
      <c r="H35" s="83" t="s">
        <v>125</v>
      </c>
      <c r="I35" s="78"/>
      <c r="J35" s="78"/>
      <c r="K35" s="78"/>
      <c r="L35" s="78"/>
      <c r="M35" s="78"/>
      <c r="N35" s="78"/>
      <c r="O35" s="78"/>
      <c r="P35" s="78"/>
      <c r="Q35" s="78"/>
      <c r="R35" s="78">
        <f>$C$21*10*5%</f>
        <v>5700</v>
      </c>
      <c r="S35" s="78"/>
      <c r="T35" s="78"/>
      <c r="U35" s="78"/>
      <c r="V35" s="78"/>
      <c r="W35" s="78">
        <f>$C$21*5*5%</f>
        <v>2850</v>
      </c>
      <c r="X35" s="78"/>
      <c r="Y35" s="78"/>
      <c r="Z35" s="78"/>
      <c r="AA35" s="78"/>
      <c r="AB35" s="78">
        <f>$C$21*5*5%</f>
        <v>2850</v>
      </c>
      <c r="AC35" s="78"/>
      <c r="AD35" s="78"/>
      <c r="AE35" s="78"/>
      <c r="AF35" s="78"/>
      <c r="AG35" s="78"/>
      <c r="AH35" s="82"/>
      <c r="AI35" s="82"/>
      <c r="AJ35" s="82"/>
      <c r="AK35" s="75"/>
      <c r="AL35" s="75"/>
      <c r="AM35" s="75"/>
      <c r="AN35" s="75"/>
      <c r="AP35" s="75"/>
      <c r="AQ35" s="76"/>
    </row>
    <row r="36" spans="1:48" x14ac:dyDescent="0.25">
      <c r="I36" s="77"/>
      <c r="J36" s="77"/>
      <c r="K36" s="77"/>
      <c r="L36" s="77"/>
      <c r="M36" s="77"/>
      <c r="N36" s="77"/>
      <c r="O36" s="77"/>
      <c r="P36" s="77"/>
      <c r="Q36" s="77"/>
      <c r="R36" s="77"/>
      <c r="S36" s="77"/>
      <c r="T36" s="77"/>
      <c r="U36" s="77"/>
      <c r="V36" s="77"/>
      <c r="W36" s="77">
        <f>IF(W34/2&lt;4500,W34/1.2,W34/1.5)</f>
        <v>2375</v>
      </c>
      <c r="X36" s="77"/>
      <c r="Y36" s="77"/>
      <c r="Z36" s="77"/>
      <c r="AA36" s="77"/>
      <c r="AB36" s="77"/>
      <c r="AC36" s="77"/>
      <c r="AD36" s="77"/>
      <c r="AE36" s="77"/>
      <c r="AF36" s="77"/>
      <c r="AG36" s="77"/>
      <c r="AH36" s="78"/>
      <c r="AI36" s="77">
        <f>AI27-AI21</f>
        <v>10582.00102428603</v>
      </c>
      <c r="AJ36" s="77"/>
      <c r="AK36" s="76"/>
      <c r="AL36" s="75"/>
      <c r="AP36" s="75"/>
      <c r="AQ36" s="76"/>
      <c r="AS36" s="94"/>
      <c r="AT36" s="95" t="s">
        <v>63</v>
      </c>
      <c r="AU36" s="94"/>
      <c r="AV36" s="94"/>
    </row>
    <row r="37" spans="1:48" x14ac:dyDescent="0.25">
      <c r="A37" s="74" t="s">
        <v>9</v>
      </c>
      <c r="U37" s="75"/>
      <c r="V37" s="75"/>
      <c r="W37" s="75"/>
      <c r="X37" s="75"/>
      <c r="Z37" s="75"/>
      <c r="AA37" s="75"/>
      <c r="AB37" s="75"/>
      <c r="AC37" s="75"/>
      <c r="AD37" s="84"/>
      <c r="AE37" s="84"/>
      <c r="AF37" s="84"/>
      <c r="AG37" s="84"/>
      <c r="AH37" s="84"/>
      <c r="AI37" s="84"/>
      <c r="AJ37" s="84"/>
      <c r="AK37" s="96"/>
      <c r="AL37" s="84"/>
      <c r="AM37" s="96"/>
      <c r="AN37" s="96"/>
      <c r="AO37" s="84"/>
      <c r="AP37" s="97"/>
      <c r="AQ37" s="96"/>
      <c r="AR37" s="96"/>
      <c r="AS37" s="85"/>
      <c r="AT37" s="85">
        <f>D21*AM67*C24</f>
        <v>60000</v>
      </c>
      <c r="AU37" s="98"/>
      <c r="AV37" s="98"/>
    </row>
    <row r="38" spans="1:48" x14ac:dyDescent="0.25">
      <c r="A38" s="74">
        <v>0</v>
      </c>
      <c r="B38" s="74" t="s">
        <v>49</v>
      </c>
      <c r="H38" s="76" t="s">
        <v>20</v>
      </c>
      <c r="I38" s="76"/>
      <c r="J38" s="76"/>
      <c r="K38" s="76"/>
      <c r="L38" s="76"/>
      <c r="M38" s="76"/>
      <c r="N38" s="76"/>
      <c r="O38" s="76"/>
      <c r="P38" s="76"/>
      <c r="Q38" s="76"/>
      <c r="R38" s="76"/>
      <c r="S38" s="76"/>
      <c r="T38" s="76"/>
      <c r="U38" s="76"/>
      <c r="V38" s="76"/>
      <c r="W38" s="76"/>
      <c r="X38" s="76"/>
      <c r="Y38" s="76"/>
      <c r="AA38" s="76"/>
      <c r="AB38" s="76"/>
      <c r="AC38" s="76"/>
      <c r="AD38" s="97"/>
      <c r="AE38" s="97"/>
      <c r="AF38" s="97"/>
      <c r="AG38" s="97"/>
      <c r="AH38" s="97"/>
      <c r="AI38" s="84"/>
      <c r="AJ38" s="84"/>
      <c r="AK38" s="96"/>
      <c r="AL38" s="96"/>
      <c r="AM38" s="96"/>
      <c r="AN38" s="96"/>
      <c r="AO38" s="84"/>
      <c r="AP38" s="97"/>
      <c r="AQ38" s="96"/>
      <c r="AR38" s="96"/>
      <c r="AS38" s="99" t="str">
        <f>G49</f>
        <v>Hallmark</v>
      </c>
      <c r="AT38" s="85">
        <f>AI49*$AM$67</f>
        <v>69054.972968382426</v>
      </c>
      <c r="AU38" s="98">
        <f t="shared" ref="AU38:AU44" si="95">$AT$37</f>
        <v>60000</v>
      </c>
      <c r="AV38" s="98"/>
    </row>
    <row r="39" spans="1:48" x14ac:dyDescent="0.25">
      <c r="A39" s="74">
        <v>15000</v>
      </c>
      <c r="B39" s="74" t="s">
        <v>50</v>
      </c>
      <c r="H39" s="76" t="s">
        <v>29</v>
      </c>
      <c r="I39" s="76"/>
      <c r="J39" s="76"/>
      <c r="K39" s="76"/>
      <c r="L39" s="76"/>
      <c r="M39" s="76"/>
      <c r="N39" s="76"/>
      <c r="O39" s="76"/>
      <c r="P39" s="76"/>
      <c r="Q39" s="76"/>
      <c r="R39" s="76"/>
      <c r="S39" s="76"/>
      <c r="T39" s="76"/>
      <c r="U39" s="76"/>
      <c r="V39" s="76"/>
      <c r="W39" s="76"/>
      <c r="X39" s="76"/>
      <c r="Y39" s="76"/>
      <c r="AA39" s="76"/>
      <c r="AB39" s="76"/>
      <c r="AC39" s="76"/>
      <c r="AD39" s="97"/>
      <c r="AE39" s="97"/>
      <c r="AF39" s="97"/>
      <c r="AG39" s="97"/>
      <c r="AH39" s="97"/>
      <c r="AI39" s="84"/>
      <c r="AJ39" s="84"/>
      <c r="AK39" s="96"/>
      <c r="AL39" s="96"/>
      <c r="AM39" s="96"/>
      <c r="AN39" s="96"/>
      <c r="AO39" s="84"/>
      <c r="AP39" s="97"/>
      <c r="AQ39" s="96"/>
      <c r="AR39" s="96"/>
      <c r="AS39" s="99" t="str">
        <f t="shared" ref="AS39:AS40" si="96">G50</f>
        <v>Generali Vision</v>
      </c>
      <c r="AT39" s="85">
        <f>AI50*$AM$67</f>
        <v>58481.147090952814</v>
      </c>
      <c r="AU39" s="98">
        <f t="shared" si="95"/>
        <v>60000</v>
      </c>
      <c r="AV39" s="98"/>
    </row>
    <row r="40" spans="1:48" x14ac:dyDescent="0.25">
      <c r="A40" s="74">
        <v>50000</v>
      </c>
      <c r="B40" s="74" t="s">
        <v>10</v>
      </c>
      <c r="H40" s="76" t="s">
        <v>23</v>
      </c>
      <c r="I40" s="76"/>
      <c r="J40" s="76"/>
      <c r="K40" s="76"/>
      <c r="L40" s="76"/>
      <c r="M40" s="76"/>
      <c r="N40" s="76"/>
      <c r="O40" s="76"/>
      <c r="P40" s="76"/>
      <c r="Q40" s="76"/>
      <c r="R40" s="76"/>
      <c r="S40" s="76"/>
      <c r="T40" s="76"/>
      <c r="U40" s="76"/>
      <c r="V40" s="76"/>
      <c r="W40" s="76"/>
      <c r="X40" s="76"/>
      <c r="Y40" s="76"/>
      <c r="AA40" s="76"/>
      <c r="AB40" s="76"/>
      <c r="AC40" s="76"/>
      <c r="AD40" s="97"/>
      <c r="AE40" s="97"/>
      <c r="AF40" s="97"/>
      <c r="AG40" s="97"/>
      <c r="AH40" s="97"/>
      <c r="AI40" s="84"/>
      <c r="AJ40" s="84"/>
      <c r="AK40" s="96"/>
      <c r="AL40" s="96"/>
      <c r="AM40" s="96"/>
      <c r="AN40" s="96"/>
      <c r="AO40" s="84"/>
      <c r="AP40" s="97"/>
      <c r="AQ40" s="96"/>
      <c r="AR40" s="96"/>
      <c r="AS40" s="99" t="str">
        <f t="shared" si="96"/>
        <v>OMI (Royal Skandia)</v>
      </c>
      <c r="AT40" s="85">
        <f>AI51*$AM$67</f>
        <v>59161.773473431305</v>
      </c>
      <c r="AU40" s="98">
        <f t="shared" si="95"/>
        <v>60000</v>
      </c>
      <c r="AV40" s="98"/>
    </row>
    <row r="41" spans="1:48" x14ac:dyDescent="0.25">
      <c r="A41" s="74">
        <v>1000000</v>
      </c>
      <c r="B41" s="74" t="s">
        <v>11</v>
      </c>
      <c r="H41" s="76" t="s">
        <v>58</v>
      </c>
      <c r="U41" s="75"/>
      <c r="V41" s="75"/>
      <c r="W41" s="75"/>
      <c r="X41" s="75"/>
      <c r="Z41" s="75"/>
      <c r="AA41" s="75"/>
      <c r="AB41" s="75"/>
      <c r="AC41" s="75"/>
      <c r="AD41" s="84"/>
      <c r="AE41" s="84"/>
      <c r="AF41" s="84"/>
      <c r="AG41" s="84"/>
      <c r="AH41" s="84"/>
      <c r="AI41" s="84"/>
      <c r="AJ41" s="84"/>
      <c r="AK41" s="96"/>
      <c r="AL41" s="96"/>
      <c r="AM41" s="96"/>
      <c r="AN41" s="96"/>
      <c r="AO41" s="84"/>
      <c r="AP41" s="97"/>
      <c r="AQ41" s="96"/>
      <c r="AR41" s="96"/>
      <c r="AS41" s="99" t="str">
        <f>G53</f>
        <v>Hansard</v>
      </c>
      <c r="AT41" s="85">
        <f>AI53*$AM$67</f>
        <v>54531.693555404963</v>
      </c>
      <c r="AU41" s="98">
        <f t="shared" si="95"/>
        <v>60000</v>
      </c>
      <c r="AV41" s="98"/>
    </row>
    <row r="42" spans="1:48" x14ac:dyDescent="0.25">
      <c r="A42" s="74">
        <v>2.5</v>
      </c>
      <c r="B42" s="74" t="s">
        <v>12</v>
      </c>
      <c r="H42" s="76" t="s">
        <v>67</v>
      </c>
      <c r="U42" s="75"/>
      <c r="V42" s="75"/>
      <c r="W42" s="75"/>
      <c r="X42" s="75"/>
      <c r="Z42" s="75"/>
      <c r="AA42" s="75"/>
      <c r="AB42" s="75"/>
      <c r="AC42" s="75"/>
      <c r="AD42" s="84"/>
      <c r="AE42" s="84"/>
      <c r="AF42" s="84"/>
      <c r="AG42" s="84"/>
      <c r="AH42" s="84"/>
      <c r="AI42" s="84"/>
      <c r="AJ42" s="84"/>
      <c r="AK42" s="96"/>
      <c r="AL42" s="96"/>
      <c r="AM42" s="96"/>
      <c r="AN42" s="96"/>
      <c r="AO42" s="84"/>
      <c r="AP42" s="97"/>
      <c r="AQ42" s="96"/>
      <c r="AR42" s="96"/>
      <c r="AS42" s="99" t="str">
        <f>G54</f>
        <v>Ascentric</v>
      </c>
      <c r="AT42" s="85">
        <f>AI54*$AM$67</f>
        <v>69063.148115238844</v>
      </c>
      <c r="AU42" s="98">
        <f t="shared" si="95"/>
        <v>60000</v>
      </c>
      <c r="AV42" s="98"/>
    </row>
    <row r="43" spans="1:48" x14ac:dyDescent="0.25">
      <c r="A43" s="74">
        <v>20</v>
      </c>
      <c r="B43" s="74" t="s">
        <v>13</v>
      </c>
      <c r="H43" s="76" t="s">
        <v>68</v>
      </c>
      <c r="U43" s="75"/>
      <c r="V43" s="75"/>
      <c r="W43" s="75"/>
      <c r="X43" s="75"/>
      <c r="Z43" s="75"/>
      <c r="AA43" s="75"/>
      <c r="AB43" s="75"/>
      <c r="AC43" s="75"/>
      <c r="AD43" s="84"/>
      <c r="AE43" s="84"/>
      <c r="AF43" s="84"/>
      <c r="AG43" s="84"/>
      <c r="AH43" s="84"/>
      <c r="AI43" s="84"/>
      <c r="AJ43" s="84"/>
      <c r="AK43" s="96"/>
      <c r="AL43" s="96"/>
      <c r="AM43" s="96"/>
      <c r="AN43" s="96"/>
      <c r="AO43" s="84"/>
      <c r="AP43" s="97"/>
      <c r="AQ43" s="96"/>
      <c r="AR43" s="96"/>
      <c r="AS43" s="99" t="str">
        <f>G55</f>
        <v>Royal London</v>
      </c>
      <c r="AT43" s="85">
        <f>(AI55*$AM$67)+(AI55*$AM$67*0.25%*C24)</f>
        <v>56202.989279868023</v>
      </c>
      <c r="AU43" s="98">
        <f t="shared" si="95"/>
        <v>60000</v>
      </c>
      <c r="AV43" s="98"/>
    </row>
    <row r="44" spans="1:48" x14ac:dyDescent="0.25">
      <c r="A44" s="74">
        <v>1.6</v>
      </c>
      <c r="B44" s="74" t="s">
        <v>25</v>
      </c>
      <c r="H44" s="76" t="s">
        <v>69</v>
      </c>
      <c r="U44" s="75"/>
      <c r="V44" s="75"/>
      <c r="W44" s="75"/>
      <c r="X44" s="75"/>
      <c r="Z44" s="75"/>
      <c r="AA44" s="75"/>
      <c r="AB44" s="75"/>
      <c r="AC44" s="75"/>
      <c r="AD44" s="84"/>
      <c r="AE44" s="84"/>
      <c r="AF44" s="84"/>
      <c r="AG44" s="84"/>
      <c r="AH44" s="84"/>
      <c r="AI44" s="84"/>
      <c r="AJ44" s="84"/>
      <c r="AK44" s="96"/>
      <c r="AL44" s="96"/>
      <c r="AM44" s="96"/>
      <c r="AN44" s="96"/>
      <c r="AO44" s="84"/>
      <c r="AP44" s="97"/>
      <c r="AQ44" s="96"/>
      <c r="AR44" s="96"/>
      <c r="AS44" s="99" t="str">
        <f>G56</f>
        <v>Friends Provident</v>
      </c>
      <c r="AT44" s="85">
        <f>AI56*$AM$67</f>
        <v>57013.711516026589</v>
      </c>
      <c r="AU44" s="98">
        <f t="shared" si="95"/>
        <v>60000</v>
      </c>
      <c r="AV44" s="98"/>
    </row>
    <row r="45" spans="1:48" x14ac:dyDescent="0.25">
      <c r="C45" s="74" t="s">
        <v>106</v>
      </c>
      <c r="H45" s="75">
        <v>1</v>
      </c>
      <c r="I45" s="76" t="s">
        <v>107</v>
      </c>
      <c r="L45" s="75">
        <v>1</v>
      </c>
      <c r="U45" s="75"/>
      <c r="V45" s="75"/>
      <c r="W45" s="75"/>
      <c r="X45" s="75"/>
      <c r="Z45" s="75"/>
      <c r="AA45" s="75"/>
      <c r="AB45" s="75"/>
      <c r="AC45" s="75"/>
      <c r="AD45" s="84"/>
      <c r="AE45" s="84"/>
      <c r="AF45" s="84"/>
      <c r="AG45" s="84"/>
      <c r="AH45" s="84"/>
      <c r="AI45" s="84"/>
      <c r="AJ45" s="84"/>
      <c r="AK45" s="96"/>
      <c r="AL45" s="96"/>
      <c r="AM45" s="96"/>
      <c r="AN45" s="96"/>
      <c r="AO45" s="84"/>
      <c r="AP45" s="97"/>
      <c r="AQ45" s="96"/>
      <c r="AR45" s="96"/>
      <c r="AS45" s="99"/>
      <c r="AT45" s="85"/>
      <c r="AU45" s="98"/>
      <c r="AV45" s="98"/>
    </row>
    <row r="46" spans="1:48" x14ac:dyDescent="0.25">
      <c r="U46" s="75"/>
      <c r="V46" s="75"/>
      <c r="W46" s="75"/>
      <c r="X46" s="75"/>
      <c r="Z46" s="75"/>
      <c r="AA46" s="75"/>
      <c r="AB46" s="75"/>
      <c r="AC46" s="75"/>
      <c r="AD46" s="84"/>
      <c r="AE46" s="84"/>
      <c r="AF46" s="84"/>
      <c r="AG46" s="84"/>
      <c r="AH46" s="84"/>
      <c r="AI46" s="84"/>
      <c r="AJ46" s="84"/>
      <c r="AK46" s="96"/>
      <c r="AL46" s="96"/>
      <c r="AM46" s="96"/>
      <c r="AN46" s="96"/>
      <c r="AO46" s="84"/>
      <c r="AP46" s="97"/>
      <c r="AQ46" s="96"/>
      <c r="AR46" s="96"/>
      <c r="AS46" s="85"/>
      <c r="AT46" s="85"/>
      <c r="AU46" s="98"/>
      <c r="AV46" s="98"/>
    </row>
    <row r="47" spans="1:48" x14ac:dyDescent="0.25">
      <c r="D47" s="74" t="s">
        <v>53</v>
      </c>
      <c r="U47" s="75"/>
      <c r="V47" s="75"/>
      <c r="W47" s="75"/>
      <c r="X47" s="75"/>
      <c r="Z47" s="75"/>
      <c r="AA47" s="75"/>
      <c r="AB47" s="75"/>
      <c r="AC47" s="75"/>
      <c r="AD47" s="84"/>
      <c r="AE47" s="84"/>
      <c r="AF47" s="84"/>
      <c r="AG47" s="84"/>
      <c r="AH47" s="84"/>
      <c r="AI47" s="84"/>
      <c r="AJ47" s="84"/>
      <c r="AK47" s="96"/>
      <c r="AL47" s="96"/>
      <c r="AM47" s="96"/>
      <c r="AN47" s="96"/>
      <c r="AO47" s="84"/>
      <c r="AP47" s="97"/>
      <c r="AQ47" s="96"/>
      <c r="AR47" s="96"/>
      <c r="AS47" s="85"/>
      <c r="AT47" s="85"/>
      <c r="AU47" s="98"/>
      <c r="AV47" s="98"/>
    </row>
    <row r="48" spans="1:48" x14ac:dyDescent="0.25">
      <c r="D48" s="74" t="s">
        <v>55</v>
      </c>
      <c r="I48" s="75">
        <v>1</v>
      </c>
      <c r="J48" s="75">
        <f>J58</f>
        <v>2</v>
      </c>
      <c r="K48" s="75">
        <f t="shared" ref="K48:AG48" si="97">K58</f>
        <v>3</v>
      </c>
      <c r="L48" s="75">
        <f t="shared" si="97"/>
        <v>4</v>
      </c>
      <c r="M48" s="75">
        <f t="shared" si="97"/>
        <v>5</v>
      </c>
      <c r="N48" s="75">
        <f t="shared" si="97"/>
        <v>6</v>
      </c>
      <c r="O48" s="75">
        <f t="shared" si="97"/>
        <v>7</v>
      </c>
      <c r="P48" s="75">
        <f t="shared" si="97"/>
        <v>8</v>
      </c>
      <c r="Q48" s="75">
        <f t="shared" si="97"/>
        <v>9</v>
      </c>
      <c r="R48" s="75">
        <f t="shared" si="97"/>
        <v>10</v>
      </c>
      <c r="S48" s="75">
        <f t="shared" si="97"/>
        <v>11</v>
      </c>
      <c r="T48" s="75">
        <f t="shared" si="97"/>
        <v>12</v>
      </c>
      <c r="U48" s="75">
        <f t="shared" si="97"/>
        <v>13</v>
      </c>
      <c r="V48" s="75">
        <f t="shared" si="97"/>
        <v>14</v>
      </c>
      <c r="W48" s="75">
        <f t="shared" si="97"/>
        <v>15</v>
      </c>
      <c r="X48" s="75">
        <f t="shared" si="97"/>
        <v>16</v>
      </c>
      <c r="Y48" s="75">
        <f t="shared" si="97"/>
        <v>17</v>
      </c>
      <c r="Z48" s="75">
        <f t="shared" si="97"/>
        <v>18</v>
      </c>
      <c r="AA48" s="75">
        <f t="shared" si="97"/>
        <v>19</v>
      </c>
      <c r="AB48" s="75">
        <f t="shared" si="97"/>
        <v>20</v>
      </c>
      <c r="AC48" s="75">
        <f t="shared" si="97"/>
        <v>21</v>
      </c>
      <c r="AD48" s="84">
        <f t="shared" si="97"/>
        <v>22</v>
      </c>
      <c r="AE48" s="84">
        <f t="shared" si="97"/>
        <v>23</v>
      </c>
      <c r="AF48" s="84">
        <f t="shared" si="97"/>
        <v>24</v>
      </c>
      <c r="AG48" s="84">
        <f t="shared" si="97"/>
        <v>25</v>
      </c>
      <c r="AH48" s="84">
        <v>0</v>
      </c>
      <c r="AI48" s="84" t="s">
        <v>46</v>
      </c>
      <c r="AJ48" s="84"/>
      <c r="AK48" s="84"/>
      <c r="AL48" s="84"/>
      <c r="AM48" s="84"/>
      <c r="AN48" s="84"/>
      <c r="AO48" s="96"/>
      <c r="AP48" s="97"/>
      <c r="AQ48" s="96"/>
      <c r="AR48" s="96"/>
      <c r="AS48" s="85"/>
      <c r="AT48" s="100" t="s">
        <v>62</v>
      </c>
      <c r="AU48" s="98"/>
      <c r="AV48" s="98"/>
    </row>
    <row r="49" spans="1:48" x14ac:dyDescent="0.25">
      <c r="G49" s="83" t="str">
        <f>H18</f>
        <v>Hallmark</v>
      </c>
      <c r="I49" s="86">
        <f t="shared" ref="I49:R49" si="98">I18*(100-I61)%</f>
        <v>12308.468231659348</v>
      </c>
      <c r="J49" s="86">
        <f t="shared" si="98"/>
        <v>25326.144555191862</v>
      </c>
      <c r="K49" s="86">
        <f t="shared" si="98"/>
        <v>39093.893203913321</v>
      </c>
      <c r="L49" s="86">
        <f t="shared" si="98"/>
        <v>53654.932988848952</v>
      </c>
      <c r="M49" s="86">
        <f t="shared" si="98"/>
        <v>69054.972968382426</v>
      </c>
      <c r="N49" s="86">
        <f t="shared" si="98"/>
        <v>85342.355935125524</v>
      </c>
      <c r="O49" s="86">
        <f t="shared" si="98"/>
        <v>102568.21017043314</v>
      </c>
      <c r="P49" s="86">
        <f t="shared" si="98"/>
        <v>120786.60994294127</v>
      </c>
      <c r="Q49" s="86">
        <f t="shared" si="98"/>
        <v>140054.74525495456</v>
      </c>
      <c r="R49" s="86">
        <f t="shared" si="98"/>
        <v>160433.10136954003</v>
      </c>
      <c r="S49" s="86">
        <f t="shared" ref="S49:AG49" si="99">S18*(100-S61)%</f>
        <v>181985.64868188664</v>
      </c>
      <c r="T49" s="86">
        <f t="shared" si="99"/>
        <v>204780.04353096243</v>
      </c>
      <c r="U49" s="86">
        <f t="shared" si="99"/>
        <v>228887.84058184389</v>
      </c>
      <c r="V49" s="86">
        <f t="shared" si="99"/>
        <v>254384.71744541428</v>
      </c>
      <c r="W49" s="86">
        <f t="shared" si="99"/>
        <v>281350.71224054223</v>
      </c>
      <c r="X49" s="86">
        <f t="shared" si="99"/>
        <v>309870.47484448034</v>
      </c>
      <c r="Y49" s="86">
        <f t="shared" si="99"/>
        <v>340033.53262019204</v>
      </c>
      <c r="Z49" s="86">
        <f t="shared" si="99"/>
        <v>371934.5714547612</v>
      </c>
      <c r="AA49" s="86">
        <f t="shared" si="99"/>
        <v>405673.73299110105</v>
      </c>
      <c r="AB49" s="86">
        <f t="shared" si="99"/>
        <v>441356.92898601317</v>
      </c>
      <c r="AC49" s="86">
        <f t="shared" si="99"/>
        <v>479096.17378140846</v>
      </c>
      <c r="AD49" s="84">
        <f t="shared" si="99"/>
        <v>519009.93593236164</v>
      </c>
      <c r="AE49" s="84">
        <f t="shared" si="99"/>
        <v>561223.51009580772</v>
      </c>
      <c r="AF49" s="84">
        <f t="shared" si="99"/>
        <v>605869.41034728789</v>
      </c>
      <c r="AG49" s="84">
        <f t="shared" si="99"/>
        <v>653087.78616041993</v>
      </c>
      <c r="AH49" s="84">
        <v>0</v>
      </c>
      <c r="AI49" s="84">
        <f>HLOOKUP($C$24,$I$48:$AH$56,2)</f>
        <v>69054.972968382426</v>
      </c>
      <c r="AJ49" s="84" t="str">
        <f>G49</f>
        <v>Hallmark</v>
      </c>
      <c r="AK49" s="84">
        <f>HLOOKUP($C$25,$I$48:$AH$56,2)</f>
        <v>39093.893203913321</v>
      </c>
      <c r="AL49" s="84">
        <f>IF(AJ49=$C$30,AK49,0)</f>
        <v>0</v>
      </c>
      <c r="AM49" s="84"/>
      <c r="AN49" s="84"/>
      <c r="AO49" s="96"/>
      <c r="AP49" s="97"/>
      <c r="AQ49" s="96"/>
      <c r="AR49" s="96"/>
      <c r="AS49" s="85"/>
      <c r="AT49" s="85" t="s">
        <v>61</v>
      </c>
      <c r="AU49" s="98" t="s">
        <v>60</v>
      </c>
      <c r="AV49" s="98" t="s">
        <v>71</v>
      </c>
    </row>
    <row r="50" spans="1:48" x14ac:dyDescent="0.25">
      <c r="G50" s="83" t="str">
        <f>H21</f>
        <v>Generali Vision</v>
      </c>
      <c r="I50" s="86">
        <f>IF((I21-I62)&lt;200,I21*5%,I21-I62)</f>
        <v>6346.8534366413296</v>
      </c>
      <c r="J50" s="86">
        <f>IF((J21-J62)&lt;200,J21*10%,J21-J62)</f>
        <v>18874.673201131955</v>
      </c>
      <c r="K50" s="86">
        <f>IF((K21-L62)&lt;500,K21*15%,K21-L62)</f>
        <v>33002.399305487299</v>
      </c>
      <c r="L50" s="86">
        <f t="shared" ref="L50:S50" si="100">IF((L21-L62)&lt;500,L21*15%,L21-L62)</f>
        <v>44909.241470546403</v>
      </c>
      <c r="M50" s="86">
        <f t="shared" si="100"/>
        <v>58481.147090952814</v>
      </c>
      <c r="N50" s="86">
        <f t="shared" si="100"/>
        <v>71461.270217824334</v>
      </c>
      <c r="O50" s="86">
        <f t="shared" si="100"/>
        <v>85013.785940931702</v>
      </c>
      <c r="P50" s="86">
        <f t="shared" si="100"/>
        <v>99163.935414077816</v>
      </c>
      <c r="Q50" s="86">
        <f t="shared" si="100"/>
        <v>113938.07286598909</v>
      </c>
      <c r="R50" s="86">
        <f t="shared" si="100"/>
        <v>135063.71468427559</v>
      </c>
      <c r="S50" s="86">
        <f t="shared" si="100"/>
        <v>151420.94712380087</v>
      </c>
      <c r="T50" s="86">
        <f t="shared" ref="T50:AG50" si="101">T21-T62</f>
        <v>168499.49465808904</v>
      </c>
      <c r="U50" s="86">
        <f t="shared" si="101"/>
        <v>186331.16556936977</v>
      </c>
      <c r="V50" s="86">
        <f t="shared" si="101"/>
        <v>204949.17080956002</v>
      </c>
      <c r="W50" s="86">
        <f t="shared" si="101"/>
        <v>227238.18585466524</v>
      </c>
      <c r="X50" s="86">
        <f t="shared" si="101"/>
        <v>247660.09351677471</v>
      </c>
      <c r="Y50" s="86">
        <f t="shared" si="101"/>
        <v>268982.5587955222</v>
      </c>
      <c r="Z50" s="86">
        <f t="shared" si="101"/>
        <v>291245.29414257011</v>
      </c>
      <c r="AA50" s="86">
        <f t="shared" si="101"/>
        <v>314489.76323436404</v>
      </c>
      <c r="AB50" s="86">
        <f t="shared" si="101"/>
        <v>341609.25819698605</v>
      </c>
      <c r="AC50" s="86">
        <f t="shared" si="101"/>
        <v>367074.65846640163</v>
      </c>
      <c r="AD50" s="84">
        <f t="shared" si="101"/>
        <v>393663.02239586302</v>
      </c>
      <c r="AE50" s="84">
        <f t="shared" si="101"/>
        <v>421423.87001523189</v>
      </c>
      <c r="AF50" s="84">
        <f t="shared" si="101"/>
        <v>450408.90507005452</v>
      </c>
      <c r="AG50" s="84">
        <f t="shared" si="101"/>
        <v>480672.11131823587</v>
      </c>
      <c r="AH50" s="84">
        <v>0</v>
      </c>
      <c r="AI50" s="84">
        <f>HLOOKUP($C$24,$I$48:$AH$56,3)</f>
        <v>58481.147090952814</v>
      </c>
      <c r="AJ50" s="84" t="str">
        <f t="shared" ref="AJ50:AJ55" si="102">G50</f>
        <v>Generali Vision</v>
      </c>
      <c r="AK50" s="84">
        <f>HLOOKUP($C$25,$I$48:$AH$56,3)</f>
        <v>33002.399305487299</v>
      </c>
      <c r="AL50" s="84">
        <f t="shared" ref="AL50:AL56" si="103">IF(AJ50=$C$30,AK50,0)</f>
        <v>0</v>
      </c>
      <c r="AM50" s="84"/>
      <c r="AN50" s="84"/>
      <c r="AO50" s="96"/>
      <c r="AP50" s="97"/>
      <c r="AQ50" s="96"/>
      <c r="AR50" s="96"/>
      <c r="AS50" s="99" t="str">
        <f>AS38</f>
        <v>Hallmark</v>
      </c>
      <c r="AT50" s="85">
        <f>L18*$AM$67</f>
        <v>53654.932988848952</v>
      </c>
      <c r="AU50" s="98">
        <f t="shared" ref="AU50:AU57" si="104">L49*$AM$67</f>
        <v>53654.932988848952</v>
      </c>
      <c r="AV50" s="101">
        <f>D21*AM67*4</f>
        <v>48000</v>
      </c>
    </row>
    <row r="51" spans="1:48" x14ac:dyDescent="0.25">
      <c r="G51" s="83" t="str">
        <f>H22</f>
        <v>OMI (Royal Skandia)</v>
      </c>
      <c r="I51" s="86">
        <f t="shared" ref="I51:AG51" si="105">I22*(100-I63)%</f>
        <v>10647.432496850961</v>
      </c>
      <c r="J51" s="86">
        <f t="shared" si="105"/>
        <v>22405.745715671415</v>
      </c>
      <c r="K51" s="86">
        <f t="shared" si="105"/>
        <v>34361.358373233074</v>
      </c>
      <c r="L51" s="86">
        <f t="shared" si="105"/>
        <v>46564.161196763715</v>
      </c>
      <c r="M51" s="86">
        <f t="shared" si="105"/>
        <v>59161.773473431305</v>
      </c>
      <c r="N51" s="86">
        <f t="shared" si="105"/>
        <v>72166.968867330928</v>
      </c>
      <c r="O51" s="86">
        <f t="shared" si="105"/>
        <v>85592.934321655004</v>
      </c>
      <c r="P51" s="86">
        <f t="shared" si="105"/>
        <v>99453.283429924209</v>
      </c>
      <c r="Q51" s="86">
        <f t="shared" si="105"/>
        <v>113762.0702398312</v>
      </c>
      <c r="R51" s="86">
        <f t="shared" si="105"/>
        <v>128533.80350369377</v>
      </c>
      <c r="S51" s="86">
        <f t="shared" si="105"/>
        <v>143222.84899141354</v>
      </c>
      <c r="T51" s="86">
        <f t="shared" si="105"/>
        <v>158387.14382143423</v>
      </c>
      <c r="U51" s="86">
        <f t="shared" si="105"/>
        <v>174042.06420983101</v>
      </c>
      <c r="V51" s="86">
        <f t="shared" si="105"/>
        <v>190203.48385473687</v>
      </c>
      <c r="W51" s="86">
        <f t="shared" si="105"/>
        <v>209262.79003187601</v>
      </c>
      <c r="X51" s="86">
        <f t="shared" si="105"/>
        <v>231313.74095512673</v>
      </c>
      <c r="Y51" s="86">
        <f t="shared" si="105"/>
        <v>256453.12829139322</v>
      </c>
      <c r="Z51" s="86">
        <f t="shared" si="105"/>
        <v>284780.87530493736</v>
      </c>
      <c r="AA51" s="86">
        <f t="shared" si="105"/>
        <v>316400.13817707205</v>
      </c>
      <c r="AB51" s="86">
        <f t="shared" si="105"/>
        <v>351417.41060395172</v>
      </c>
      <c r="AC51" s="86">
        <f t="shared" si="105"/>
        <v>373317.63177851954</v>
      </c>
      <c r="AD51" s="84">
        <f t="shared" si="105"/>
        <v>395926.41265617759</v>
      </c>
      <c r="AE51" s="84">
        <f t="shared" si="105"/>
        <v>419266.67797585158</v>
      </c>
      <c r="AF51" s="84">
        <f t="shared" si="105"/>
        <v>443362.09418341529</v>
      </c>
      <c r="AG51" s="84">
        <f t="shared" si="105"/>
        <v>468237.09342887509</v>
      </c>
      <c r="AH51" s="84">
        <v>0</v>
      </c>
      <c r="AI51" s="84">
        <f>HLOOKUP($C$24,$I$48:$AH$56,4)</f>
        <v>59161.773473431305</v>
      </c>
      <c r="AJ51" s="84" t="str">
        <f t="shared" si="102"/>
        <v>OMI (Royal Skandia)</v>
      </c>
      <c r="AK51" s="84">
        <f>HLOOKUP($C$25,$I$48:$AH$56,4)</f>
        <v>34361.358373233074</v>
      </c>
      <c r="AL51" s="84">
        <f t="shared" si="103"/>
        <v>0</v>
      </c>
      <c r="AM51" s="84"/>
      <c r="AN51" s="84"/>
      <c r="AO51" s="96"/>
      <c r="AP51" s="97"/>
      <c r="AQ51" s="96"/>
      <c r="AR51" s="96"/>
      <c r="AS51" s="99" t="str">
        <f t="shared" ref="AS51:AS52" si="106">AS39</f>
        <v>Generali Vision</v>
      </c>
      <c r="AT51" s="85">
        <f>L21*$AM$67</f>
        <v>46049.241470546403</v>
      </c>
      <c r="AU51" s="98">
        <f t="shared" si="104"/>
        <v>44909.241470546403</v>
      </c>
      <c r="AV51" s="98">
        <f>AV50</f>
        <v>48000</v>
      </c>
    </row>
    <row r="52" spans="1:48" x14ac:dyDescent="0.25">
      <c r="G52" s="83" t="str">
        <f>H23</f>
        <v>OMI EWA</v>
      </c>
      <c r="I52" s="86">
        <f>I23</f>
        <v>11091.075517553085</v>
      </c>
      <c r="J52" s="86">
        <f t="shared" ref="J52:AG52" si="107">J23</f>
        <v>22090.171832352098</v>
      </c>
      <c r="K52" s="86">
        <f t="shared" si="107"/>
        <v>33674.131205768412</v>
      </c>
      <c r="L52" s="86">
        <f t="shared" si="107"/>
        <v>45632.877972828435</v>
      </c>
      <c r="M52" s="86">
        <f t="shared" si="107"/>
        <v>57978.538003962683</v>
      </c>
      <c r="N52" s="86">
        <f t="shared" si="107"/>
        <v>70723.629489984305</v>
      </c>
      <c r="O52" s="86">
        <f t="shared" si="107"/>
        <v>83881.075635221903</v>
      </c>
      <c r="P52" s="86">
        <f t="shared" si="107"/>
        <v>97464.217761325723</v>
      </c>
      <c r="Q52" s="86">
        <f t="shared" si="107"/>
        <v>111486.82883503457</v>
      </c>
      <c r="R52" s="86">
        <f t="shared" si="107"/>
        <v>127248.46546865682</v>
      </c>
      <c r="S52" s="86">
        <f t="shared" si="107"/>
        <v>141790.62050149939</v>
      </c>
      <c r="T52" s="86">
        <f t="shared" si="107"/>
        <v>156803.27238321991</v>
      </c>
      <c r="U52" s="86">
        <f t="shared" si="107"/>
        <v>172301.64356773268</v>
      </c>
      <c r="V52" s="86">
        <f t="shared" si="107"/>
        <v>190203.48385473687</v>
      </c>
      <c r="W52" s="86">
        <f t="shared" si="107"/>
        <v>206887.79003187601</v>
      </c>
      <c r="X52" s="86">
        <f t="shared" si="107"/>
        <v>224111.9002108518</v>
      </c>
      <c r="Y52" s="86">
        <f t="shared" si="107"/>
        <v>241893.27920903848</v>
      </c>
      <c r="Z52" s="86">
        <f t="shared" si="107"/>
        <v>260249.95690046946</v>
      </c>
      <c r="AA52" s="86">
        <f t="shared" si="107"/>
        <v>279200.5464976792</v>
      </c>
      <c r="AB52" s="86">
        <f t="shared" si="107"/>
        <v>298764.26342503558</v>
      </c>
      <c r="AC52" s="86">
        <f t="shared" si="107"/>
        <v>318960.94480270019</v>
      </c>
      <c r="AD52" s="84">
        <f t="shared" si="107"/>
        <v>339811.06956097251</v>
      </c>
      <c r="AE52" s="84">
        <f t="shared" si="107"/>
        <v>361335.77920541354</v>
      </c>
      <c r="AF52" s="84">
        <f t="shared" si="107"/>
        <v>383556.89925380424</v>
      </c>
      <c r="AG52" s="84">
        <f t="shared" si="107"/>
        <v>406496.96136667527</v>
      </c>
      <c r="AH52" s="84">
        <v>0</v>
      </c>
      <c r="AI52" s="84">
        <f>HLOOKUP($C$24,$I$48:$AH$56,5)</f>
        <v>57978.538003962683</v>
      </c>
      <c r="AJ52" s="84" t="str">
        <f t="shared" ref="AJ52" si="108">G52</f>
        <v>OMI EWA</v>
      </c>
      <c r="AK52" s="84">
        <f>HLOOKUP($C$25,$I$48:$AH$56,5)</f>
        <v>33674.131205768412</v>
      </c>
      <c r="AL52" s="84">
        <f t="shared" ref="AL52" si="109">IF(AJ52=$C$30,AK52,0)</f>
        <v>0</v>
      </c>
      <c r="AM52" s="84"/>
      <c r="AN52" s="84"/>
      <c r="AO52" s="96"/>
      <c r="AP52" s="97"/>
      <c r="AQ52" s="96"/>
      <c r="AR52" s="96"/>
      <c r="AS52" s="99" t="str">
        <f t="shared" si="106"/>
        <v>OMI (Royal Skandia)</v>
      </c>
      <c r="AT52" s="85">
        <f>L22*$AM$67</f>
        <v>46564.161196763715</v>
      </c>
      <c r="AU52" s="98">
        <f t="shared" si="104"/>
        <v>46564.161196763715</v>
      </c>
      <c r="AV52" s="98">
        <f>AV51</f>
        <v>48000</v>
      </c>
    </row>
    <row r="53" spans="1:48" x14ac:dyDescent="0.25">
      <c r="G53" s="83" t="str">
        <f>H26</f>
        <v>Hansard</v>
      </c>
      <c r="I53" s="86">
        <f t="shared" ref="I53" si="110">I26*(100-I64)%</f>
        <v>8590.4798839960313</v>
      </c>
      <c r="J53" s="86">
        <f t="shared" ref="J53:L53" si="111">J26*(100-J64)%</f>
        <v>17481.701218739941</v>
      </c>
      <c r="K53" s="86">
        <f t="shared" si="111"/>
        <v>28374.426999083567</v>
      </c>
      <c r="L53" s="86">
        <f t="shared" si="111"/>
        <v>39768.189646156963</v>
      </c>
      <c r="M53" s="86">
        <f>M26*(100-M64)%</f>
        <v>54531.693555404963</v>
      </c>
      <c r="N53" s="86">
        <f t="shared" ref="N53:AG53" si="112">N26*(100-N64)%</f>
        <v>67101.998392858601</v>
      </c>
      <c r="O53" s="86">
        <f t="shared" si="112"/>
        <v>80236.864860525253</v>
      </c>
      <c r="P53" s="86">
        <f t="shared" si="112"/>
        <v>93957.829093506603</v>
      </c>
      <c r="Q53" s="86">
        <f t="shared" si="112"/>
        <v>108287.38076856006</v>
      </c>
      <c r="R53" s="86">
        <f t="shared" si="112"/>
        <v>126098.99995187433</v>
      </c>
      <c r="S53" s="86">
        <f t="shared" si="112"/>
        <v>141834.70604571028</v>
      </c>
      <c r="T53" s="86">
        <f t="shared" si="112"/>
        <v>158257.41162664993</v>
      </c>
      <c r="U53" s="86">
        <f t="shared" si="112"/>
        <v>175394.00523022879</v>
      </c>
      <c r="V53" s="86">
        <f t="shared" si="112"/>
        <v>193272.53817532648</v>
      </c>
      <c r="W53" s="86">
        <f t="shared" si="112"/>
        <v>214772.27047028247</v>
      </c>
      <c r="X53" s="86">
        <f t="shared" si="112"/>
        <v>234341.22917514527</v>
      </c>
      <c r="Y53" s="86">
        <f t="shared" si="112"/>
        <v>254748.57202813937</v>
      </c>
      <c r="Z53" s="86">
        <f t="shared" si="112"/>
        <v>276027.68040707608</v>
      </c>
      <c r="AA53" s="86">
        <f t="shared" si="112"/>
        <v>298213.3567356703</v>
      </c>
      <c r="AB53" s="86">
        <f t="shared" si="112"/>
        <v>324191.88139397831</v>
      </c>
      <c r="AC53" s="86">
        <f t="shared" si="112"/>
        <v>348418.58252530679</v>
      </c>
      <c r="AD53" s="84">
        <f t="shared" si="112"/>
        <v>373670.21156633476</v>
      </c>
      <c r="AE53" s="84">
        <f t="shared" si="112"/>
        <v>399988.04859058757</v>
      </c>
      <c r="AF53" s="84">
        <f t="shared" si="112"/>
        <v>427415.11259541521</v>
      </c>
      <c r="AG53" s="84">
        <f t="shared" si="112"/>
        <v>455996.23181269906</v>
      </c>
      <c r="AH53" s="84">
        <v>0</v>
      </c>
      <c r="AI53" s="84">
        <f>HLOOKUP($C$24,$I$48:$AH$56,6)</f>
        <v>54531.693555404963</v>
      </c>
      <c r="AJ53" s="84" t="str">
        <f t="shared" si="102"/>
        <v>Hansard</v>
      </c>
      <c r="AK53" s="84">
        <f>HLOOKUP($C$25,$I$48:$AH$56,6)</f>
        <v>28374.426999083567</v>
      </c>
      <c r="AL53" s="84">
        <f t="shared" si="103"/>
        <v>0</v>
      </c>
      <c r="AM53" s="84"/>
      <c r="AN53" s="84"/>
      <c r="AO53" s="96"/>
      <c r="AP53" s="97"/>
      <c r="AQ53" s="96"/>
      <c r="AR53" s="96"/>
      <c r="AS53" s="99" t="str">
        <f>G52</f>
        <v>OMI EWA</v>
      </c>
      <c r="AT53" s="85">
        <f>L23*$AM$67</f>
        <v>45632.877972828435</v>
      </c>
      <c r="AU53" s="98">
        <f t="shared" si="104"/>
        <v>45632.877972828435</v>
      </c>
      <c r="AV53" s="98">
        <f>AV51</f>
        <v>48000</v>
      </c>
    </row>
    <row r="54" spans="1:48" x14ac:dyDescent="0.25">
      <c r="G54" s="83" t="str">
        <f>H27</f>
        <v>Ascentric</v>
      </c>
      <c r="I54" s="86">
        <f>I27*(100-I65)%</f>
        <v>12224.659127490373</v>
      </c>
      <c r="J54" s="86">
        <f t="shared" ref="J54:R54" si="113">J27*(100-J65)%</f>
        <v>25194.672178811954</v>
      </c>
      <c r="K54" s="86">
        <f t="shared" si="113"/>
        <v>38958.228727049696</v>
      </c>
      <c r="L54" s="86">
        <f t="shared" si="113"/>
        <v>53563.880094319175</v>
      </c>
      <c r="M54" s="86">
        <f t="shared" si="113"/>
        <v>69063.148115238844</v>
      </c>
      <c r="N54" s="86">
        <f t="shared" si="113"/>
        <v>85510.706881610618</v>
      </c>
      <c r="O54" s="86">
        <f t="shared" si="113"/>
        <v>102964.5756067739</v>
      </c>
      <c r="P54" s="86">
        <f t="shared" si="113"/>
        <v>121486.32328996726</v>
      </c>
      <c r="Q54" s="86">
        <f t="shared" si="113"/>
        <v>141141.28590265696</v>
      </c>
      <c r="R54" s="86">
        <f t="shared" si="113"/>
        <v>161998.79686296309</v>
      </c>
      <c r="S54" s="86">
        <f t="shared" ref="S54:AG54" si="114">S27*(100-S65)%</f>
        <v>184132.43161118802</v>
      </c>
      <c r="T54" s="86">
        <f t="shared" si="114"/>
        <v>207620.26714919409</v>
      </c>
      <c r="U54" s="86">
        <f t="shared" si="114"/>
        <v>232545.1574591629</v>
      </c>
      <c r="V54" s="86">
        <f t="shared" si="114"/>
        <v>258995.02577328333</v>
      </c>
      <c r="W54" s="86">
        <f t="shared" si="114"/>
        <v>287063.17472535733</v>
      </c>
      <c r="X54" s="86">
        <f t="shared" si="114"/>
        <v>316848.6154783924</v>
      </c>
      <c r="Y54" s="86">
        <f t="shared" si="114"/>
        <v>348456.4169891866</v>
      </c>
      <c r="Z54" s="86">
        <f t="shared" si="114"/>
        <v>381998.07664194715</v>
      </c>
      <c r="AA54" s="86">
        <f t="shared" si="114"/>
        <v>417591.91355836211</v>
      </c>
      <c r="AB54" s="86">
        <f t="shared" si="114"/>
        <v>455363.485971538</v>
      </c>
      <c r="AC54" s="86">
        <f t="shared" si="114"/>
        <v>495446.03413610061</v>
      </c>
      <c r="AD54" s="84">
        <f t="shared" si="114"/>
        <v>537980.95033683698</v>
      </c>
      <c r="AE54" s="84">
        <f t="shared" si="114"/>
        <v>583118.27765384654</v>
      </c>
      <c r="AF54" s="84">
        <f t="shared" si="114"/>
        <v>631017.23924360948</v>
      </c>
      <c r="AG54" s="84">
        <f t="shared" si="114"/>
        <v>681846.80000302556</v>
      </c>
      <c r="AH54" s="84">
        <v>0</v>
      </c>
      <c r="AI54" s="84">
        <f>HLOOKUP($C$24,$I$48:$AH$56,7)</f>
        <v>69063.148115238844</v>
      </c>
      <c r="AJ54" s="84" t="str">
        <f t="shared" si="102"/>
        <v>Ascentric</v>
      </c>
      <c r="AK54" s="84">
        <f>HLOOKUP($C$25,$I$48:$AH$56,7)</f>
        <v>38958.228727049696</v>
      </c>
      <c r="AL54" s="84">
        <f t="shared" si="103"/>
        <v>0</v>
      </c>
      <c r="AM54" s="84"/>
      <c r="AN54" s="84"/>
      <c r="AO54" s="96"/>
      <c r="AP54" s="97"/>
      <c r="AQ54" s="96"/>
      <c r="AR54" s="96"/>
      <c r="AS54" s="99" t="str">
        <f>AS41</f>
        <v>Hansard</v>
      </c>
      <c r="AT54" s="85">
        <f>L26*$AM$67</f>
        <v>39768.189646156963</v>
      </c>
      <c r="AU54" s="98">
        <f t="shared" si="104"/>
        <v>39768.189646156963</v>
      </c>
      <c r="AV54" s="98">
        <f t="shared" ref="AV54:AV57" si="115">AV53</f>
        <v>48000</v>
      </c>
    </row>
    <row r="55" spans="1:48" x14ac:dyDescent="0.25">
      <c r="G55" s="83" t="str">
        <f>H30</f>
        <v>Royal London</v>
      </c>
      <c r="I55" s="86">
        <f t="shared" ref="I55:R55" si="116">I30-(I30*I66)%</f>
        <v>9809.514258485051</v>
      </c>
      <c r="J55" s="86">
        <f t="shared" si="116"/>
        <v>21621.212499819594</v>
      </c>
      <c r="K55" s="86">
        <f t="shared" si="116"/>
        <v>32465.221637662362</v>
      </c>
      <c r="L55" s="86">
        <f t="shared" si="116"/>
        <v>43756.11999913826</v>
      </c>
      <c r="M55" s="86">
        <f t="shared" si="116"/>
        <v>55509.125214684464</v>
      </c>
      <c r="N55" s="86">
        <f t="shared" si="116"/>
        <v>67740.060976237321</v>
      </c>
      <c r="O55" s="86">
        <f t="shared" si="116"/>
        <v>80465.378253712566</v>
      </c>
      <c r="P55" s="86">
        <f t="shared" si="116"/>
        <v>93702.177337223984</v>
      </c>
      <c r="Q55" s="86">
        <f t="shared" si="116"/>
        <v>107468.23073449382</v>
      </c>
      <c r="R55" s="86">
        <f t="shared" si="116"/>
        <v>121782.00695403709</v>
      </c>
      <c r="S55" s="86">
        <f t="shared" ref="S55:AG55" si="117">S30-(S30*S66)%</f>
        <v>136662.69520587137</v>
      </c>
      <c r="T55" s="86">
        <f t="shared" si="117"/>
        <v>152130.23105271489</v>
      </c>
      <c r="U55" s="86">
        <f t="shared" si="117"/>
        <v>168205.32304589247</v>
      </c>
      <c r="V55" s="86">
        <f t="shared" si="117"/>
        <v>184909.48038146851</v>
      </c>
      <c r="W55" s="86">
        <f t="shared" si="117"/>
        <v>202265.0416134765</v>
      </c>
      <c r="X55" s="86">
        <f t="shared" si="117"/>
        <v>220295.20446251082</v>
      </c>
      <c r="Y55" s="86">
        <f t="shared" si="117"/>
        <v>239024.05675939561</v>
      </c>
      <c r="Z55" s="86">
        <f t="shared" si="117"/>
        <v>258476.60856514727</v>
      </c>
      <c r="AA55" s="86">
        <f t="shared" si="117"/>
        <v>278678.82551000267</v>
      </c>
      <c r="AB55" s="86">
        <f t="shared" si="117"/>
        <v>299657.66339589906</v>
      </c>
      <c r="AC55" s="86">
        <f t="shared" si="117"/>
        <v>321441.10410846316</v>
      </c>
      <c r="AD55" s="84">
        <f t="shared" si="117"/>
        <v>344058.19288630108</v>
      </c>
      <c r="AE55" s="84">
        <f t="shared" si="117"/>
        <v>367539.0769971768</v>
      </c>
      <c r="AF55" s="84">
        <f t="shared" si="117"/>
        <v>391915.04587253107</v>
      </c>
      <c r="AG55" s="84">
        <f t="shared" si="117"/>
        <v>417218.57275372284</v>
      </c>
      <c r="AH55" s="84">
        <v>0</v>
      </c>
      <c r="AI55" s="84">
        <f>HLOOKUP($C$24,$I$48:$AH$56,8)</f>
        <v>55509.125214684464</v>
      </c>
      <c r="AJ55" s="84" t="str">
        <f t="shared" si="102"/>
        <v>Royal London</v>
      </c>
      <c r="AK55" s="84">
        <f>HLOOKUP($C$25,$I$48:$AH$56,8)</f>
        <v>32465.221637662362</v>
      </c>
      <c r="AL55" s="84">
        <f t="shared" si="103"/>
        <v>32465.221637662362</v>
      </c>
      <c r="AM55" s="84"/>
      <c r="AN55" s="84"/>
      <c r="AO55" s="96"/>
      <c r="AP55" s="97"/>
      <c r="AQ55" s="96"/>
      <c r="AR55" s="96"/>
      <c r="AS55" s="99" t="str">
        <f>AS42</f>
        <v>Ascentric</v>
      </c>
      <c r="AT55" s="85">
        <f>L27*$AM$67</f>
        <v>53563.880094319175</v>
      </c>
      <c r="AU55" s="98">
        <f t="shared" si="104"/>
        <v>53563.880094319175</v>
      </c>
      <c r="AV55" s="98">
        <f t="shared" si="115"/>
        <v>48000</v>
      </c>
    </row>
    <row r="56" spans="1:48" x14ac:dyDescent="0.25">
      <c r="G56" s="83" t="str">
        <f t="shared" ref="G56" si="118">H33</f>
        <v>Friends Provident</v>
      </c>
      <c r="I56" s="86">
        <f>I33-(I33*I67)%</f>
        <v>10256.497521865744</v>
      </c>
      <c r="J56" s="86">
        <f t="shared" ref="J56:AG56" si="119">J33-(J33*J67)%</f>
        <v>21713.919166639284</v>
      </c>
      <c r="K56" s="86">
        <f t="shared" si="119"/>
        <v>33023.314777308551</v>
      </c>
      <c r="L56" s="86">
        <f t="shared" si="119"/>
        <v>44784.082636977648</v>
      </c>
      <c r="M56" s="86">
        <f t="shared" si="119"/>
        <v>57013.711516026589</v>
      </c>
      <c r="N56" s="86">
        <f t="shared" si="119"/>
        <v>69730.372905804979</v>
      </c>
      <c r="O56" s="86">
        <f t="shared" si="119"/>
        <v>82952.947619445156</v>
      </c>
      <c r="P56" s="86">
        <f t="shared" si="119"/>
        <v>96701.053429627209</v>
      </c>
      <c r="Q56" s="86">
        <f t="shared" si="119"/>
        <v>110995.07378371347</v>
      </c>
      <c r="R56" s="86">
        <f t="shared" si="119"/>
        <v>125856.1876382452</v>
      </c>
      <c r="S56" s="86">
        <f t="shared" si="119"/>
        <v>141306.40045643112</v>
      </c>
      <c r="T56" s="86">
        <f t="shared" si="119"/>
        <v>157368.57641395796</v>
      </c>
      <c r="U56" s="86">
        <f t="shared" si="119"/>
        <v>174066.47186021999</v>
      </c>
      <c r="V56" s="86">
        <f t="shared" si="119"/>
        <v>191424.77008390106</v>
      </c>
      <c r="W56" s="86">
        <f t="shared" si="119"/>
        <v>209469.11743374824</v>
      </c>
      <c r="X56" s="86">
        <f t="shared" si="119"/>
        <v>228226.16084736004</v>
      </c>
      <c r="Y56" s="86">
        <f t="shared" si="119"/>
        <v>247723.58684286932</v>
      </c>
      <c r="Z56" s="86">
        <f t="shared" si="119"/>
        <v>267990.16203054099</v>
      </c>
      <c r="AA56" s="86">
        <f t="shared" si="119"/>
        <v>289055.77520352695</v>
      </c>
      <c r="AB56" s="86">
        <f t="shared" si="119"/>
        <v>310951.48106933001</v>
      </c>
      <c r="AC56" s="86">
        <f t="shared" si="119"/>
        <v>333709.5456859275</v>
      </c>
      <c r="AD56" s="84">
        <f t="shared" si="119"/>
        <v>357363.49366899778</v>
      </c>
      <c r="AE56" s="84">
        <f t="shared" si="119"/>
        <v>381948.15723928408</v>
      </c>
      <c r="AF56" s="84">
        <f t="shared" si="119"/>
        <v>407499.72718181787</v>
      </c>
      <c r="AG56" s="84">
        <f t="shared" si="119"/>
        <v>434055.80579152395</v>
      </c>
      <c r="AH56" s="84">
        <v>0</v>
      </c>
      <c r="AI56" s="84">
        <f>HLOOKUP($C$24,$I$48:$AH$56,9)</f>
        <v>57013.711516026589</v>
      </c>
      <c r="AJ56" s="84" t="s">
        <v>112</v>
      </c>
      <c r="AK56" s="84">
        <f>HLOOKUP($C$25,$I$48:$AH$56,9)</f>
        <v>33023.314777308551</v>
      </c>
      <c r="AL56" s="84">
        <f t="shared" si="103"/>
        <v>0</v>
      </c>
      <c r="AM56" s="84"/>
      <c r="AN56" s="84"/>
      <c r="AO56" s="96"/>
      <c r="AP56" s="97"/>
      <c r="AQ56" s="96"/>
      <c r="AR56" s="96"/>
      <c r="AS56" s="99" t="str">
        <f>AS43</f>
        <v>Royal London</v>
      </c>
      <c r="AT56" s="85">
        <f>L30*$AM$67</f>
        <v>43756.11999913826</v>
      </c>
      <c r="AU56" s="98">
        <f t="shared" si="104"/>
        <v>43756.11999913826</v>
      </c>
      <c r="AV56" s="98">
        <f t="shared" si="115"/>
        <v>48000</v>
      </c>
    </row>
    <row r="57" spans="1:48" x14ac:dyDescent="0.25">
      <c r="U57" s="75"/>
      <c r="V57" s="75"/>
      <c r="W57" s="75"/>
      <c r="X57" s="75"/>
      <c r="Z57" s="75"/>
      <c r="AA57" s="75"/>
      <c r="AB57" s="75"/>
      <c r="AC57" s="75"/>
      <c r="AD57" s="84"/>
      <c r="AE57" s="84"/>
      <c r="AF57" s="84"/>
      <c r="AG57" s="84"/>
      <c r="AH57" s="84"/>
      <c r="AI57" s="84">
        <f>AI54-AI50</f>
        <v>10582.00102428603</v>
      </c>
      <c r="AJ57" s="84"/>
      <c r="AK57" s="97"/>
      <c r="AL57" s="96">
        <f>SUM(AL49:AL56)</f>
        <v>32465.221637662362</v>
      </c>
      <c r="AM57" s="96"/>
      <c r="AN57" s="96"/>
      <c r="AO57" s="96"/>
      <c r="AP57" s="97"/>
      <c r="AQ57" s="96"/>
      <c r="AR57" s="96"/>
      <c r="AS57" s="99" t="str">
        <f>AS44</f>
        <v>Friends Provident</v>
      </c>
      <c r="AT57" s="85">
        <f>L33*$AM$67</f>
        <v>44784.082636977648</v>
      </c>
      <c r="AU57" s="98">
        <f t="shared" si="104"/>
        <v>44784.082636977648</v>
      </c>
      <c r="AV57" s="98">
        <f t="shared" si="115"/>
        <v>48000</v>
      </c>
    </row>
    <row r="58" spans="1:48" x14ac:dyDescent="0.25">
      <c r="I58" s="75">
        <v>1</v>
      </c>
      <c r="J58" s="75">
        <f>I58+1</f>
        <v>2</v>
      </c>
      <c r="K58" s="75">
        <f t="shared" ref="K58:AG58" si="120">J58+1</f>
        <v>3</v>
      </c>
      <c r="L58" s="75">
        <f t="shared" si="120"/>
        <v>4</v>
      </c>
      <c r="M58" s="75">
        <f t="shared" si="120"/>
        <v>5</v>
      </c>
      <c r="N58" s="75">
        <f t="shared" si="120"/>
        <v>6</v>
      </c>
      <c r="O58" s="75">
        <f t="shared" si="120"/>
        <v>7</v>
      </c>
      <c r="P58" s="75">
        <f t="shared" si="120"/>
        <v>8</v>
      </c>
      <c r="Q58" s="75">
        <f t="shared" si="120"/>
        <v>9</v>
      </c>
      <c r="R58" s="75">
        <f t="shared" si="120"/>
        <v>10</v>
      </c>
      <c r="S58" s="75">
        <f t="shared" si="120"/>
        <v>11</v>
      </c>
      <c r="T58" s="75">
        <f t="shared" si="120"/>
        <v>12</v>
      </c>
      <c r="U58" s="75">
        <f t="shared" si="120"/>
        <v>13</v>
      </c>
      <c r="V58" s="75">
        <f t="shared" si="120"/>
        <v>14</v>
      </c>
      <c r="W58" s="75">
        <f t="shared" si="120"/>
        <v>15</v>
      </c>
      <c r="X58" s="75">
        <f t="shared" si="120"/>
        <v>16</v>
      </c>
      <c r="Y58" s="75">
        <f t="shared" si="120"/>
        <v>17</v>
      </c>
      <c r="Z58" s="75">
        <f t="shared" si="120"/>
        <v>18</v>
      </c>
      <c r="AA58" s="75">
        <f t="shared" si="120"/>
        <v>19</v>
      </c>
      <c r="AB58" s="75">
        <f t="shared" si="120"/>
        <v>20</v>
      </c>
      <c r="AC58" s="75">
        <f t="shared" si="120"/>
        <v>21</v>
      </c>
      <c r="AD58" s="75">
        <f t="shared" si="120"/>
        <v>22</v>
      </c>
      <c r="AE58" s="75">
        <f t="shared" si="120"/>
        <v>23</v>
      </c>
      <c r="AF58" s="75">
        <f t="shared" si="120"/>
        <v>24</v>
      </c>
      <c r="AG58" s="75">
        <f t="shared" si="120"/>
        <v>25</v>
      </c>
      <c r="AH58" s="75"/>
      <c r="AI58" s="75"/>
      <c r="AJ58" s="75"/>
      <c r="AO58" s="75"/>
      <c r="AP58" s="76"/>
      <c r="AT58" s="102"/>
      <c r="AU58" s="102"/>
      <c r="AV58" s="102"/>
    </row>
    <row r="59" spans="1:48" ht="85.5" customHeight="1" x14ac:dyDescent="0.25">
      <c r="A59" s="73"/>
      <c r="B59" s="72"/>
      <c r="C59" s="72" t="s">
        <v>54</v>
      </c>
      <c r="D59" s="73" t="s">
        <v>56</v>
      </c>
      <c r="F59" s="73" t="s">
        <v>57</v>
      </c>
      <c r="G59" s="73" t="s">
        <v>24</v>
      </c>
      <c r="H59" s="72"/>
      <c r="I59" s="73" t="s">
        <v>34</v>
      </c>
      <c r="J59" s="73" t="s">
        <v>35</v>
      </c>
      <c r="K59" s="73" t="s">
        <v>36</v>
      </c>
      <c r="L59" s="73" t="s">
        <v>37</v>
      </c>
      <c r="M59" s="73" t="s">
        <v>38</v>
      </c>
      <c r="N59" s="73" t="s">
        <v>39</v>
      </c>
      <c r="O59" s="73" t="s">
        <v>40</v>
      </c>
      <c r="P59" s="73" t="s">
        <v>41</v>
      </c>
      <c r="Q59" s="73" t="s">
        <v>42</v>
      </c>
      <c r="R59" s="73" t="s">
        <v>43</v>
      </c>
      <c r="S59" s="73"/>
      <c r="T59" s="73"/>
      <c r="U59" s="73"/>
      <c r="V59" s="73"/>
      <c r="W59" s="73"/>
      <c r="X59" s="73"/>
      <c r="Y59" s="73"/>
      <c r="Z59" s="73"/>
      <c r="AA59" s="73"/>
      <c r="AB59" s="73"/>
      <c r="AC59" s="73"/>
      <c r="AD59" s="73"/>
      <c r="AE59" s="73"/>
      <c r="AF59" s="73"/>
      <c r="AG59" s="73"/>
      <c r="AH59" s="73"/>
      <c r="AI59" s="75"/>
      <c r="AJ59" s="75"/>
      <c r="AO59" s="75"/>
      <c r="AP59" s="76"/>
    </row>
    <row r="60" spans="1:48" x14ac:dyDescent="0.25">
      <c r="B60" s="75"/>
      <c r="G60" s="75"/>
      <c r="U60" s="75"/>
      <c r="V60" s="75"/>
      <c r="W60" s="75"/>
      <c r="X60" s="75"/>
      <c r="Z60" s="75"/>
      <c r="AA60" s="75"/>
      <c r="AB60" s="75"/>
      <c r="AC60" s="75"/>
      <c r="AD60" s="75"/>
      <c r="AE60" s="75"/>
      <c r="AF60" s="75"/>
      <c r="AG60" s="75"/>
      <c r="AH60" s="75"/>
      <c r="AI60" s="75"/>
      <c r="AJ60" s="75"/>
      <c r="AM60" s="91" t="s">
        <v>95</v>
      </c>
      <c r="AN60" s="91" t="s">
        <v>96</v>
      </c>
      <c r="AO60" s="75"/>
      <c r="AP60" s="76"/>
      <c r="AR60" s="74" t="s">
        <v>75</v>
      </c>
      <c r="AT60" s="103" t="s">
        <v>90</v>
      </c>
    </row>
    <row r="61" spans="1:48" x14ac:dyDescent="0.25">
      <c r="A61" s="74" t="str">
        <f>G49</f>
        <v>Hallmark</v>
      </c>
      <c r="B61" s="75"/>
      <c r="F61" s="74">
        <v>0</v>
      </c>
      <c r="G61" s="75">
        <v>0</v>
      </c>
      <c r="U61" s="75"/>
      <c r="V61" s="75"/>
      <c r="W61" s="75"/>
      <c r="X61" s="75"/>
      <c r="Z61" s="75"/>
      <c r="AA61" s="75"/>
      <c r="AB61" s="75"/>
      <c r="AC61" s="75"/>
      <c r="AD61" s="75"/>
      <c r="AE61" s="75"/>
      <c r="AF61" s="75"/>
      <c r="AG61" s="75"/>
      <c r="AH61" s="75"/>
      <c r="AI61" s="75"/>
      <c r="AJ61" s="75"/>
      <c r="AM61" s="74" t="s">
        <v>93</v>
      </c>
      <c r="AN61" s="74" t="s">
        <v>93</v>
      </c>
      <c r="AO61" s="75" t="s">
        <v>100</v>
      </c>
      <c r="AP61" s="76">
        <v>1.22</v>
      </c>
      <c r="AR61" s="74" t="s">
        <v>73</v>
      </c>
      <c r="AS61" s="74">
        <f>MIN(AI49:AI56)</f>
        <v>54531.693555404963</v>
      </c>
      <c r="AT61" s="103">
        <f>SUM(AS61*2%)</f>
        <v>1090.6338711080994</v>
      </c>
    </row>
    <row r="62" spans="1:48" x14ac:dyDescent="0.25">
      <c r="A62" s="74" t="str">
        <f>G50</f>
        <v>Generali Vision</v>
      </c>
      <c r="B62" s="75"/>
      <c r="D62" s="74" t="s">
        <v>15</v>
      </c>
      <c r="F62" s="74">
        <f>IF(E22,0.1,0.4)</f>
        <v>0.4</v>
      </c>
      <c r="G62" s="75">
        <v>5</v>
      </c>
      <c r="I62" s="75">
        <f>HLOOKUP($C$24-I58,$G$73:$AE$77,5)</f>
        <v>4560</v>
      </c>
      <c r="J62" s="75">
        <f t="shared" ref="J62:AG62" si="121">IF(I62&lt;=0,0,HLOOKUP($C$24-J58,$G$73:$AE$77,5))</f>
        <v>3420</v>
      </c>
      <c r="K62" s="75">
        <f t="shared" si="121"/>
        <v>2280</v>
      </c>
      <c r="L62" s="75">
        <f t="shared" si="121"/>
        <v>1140</v>
      </c>
      <c r="M62" s="75">
        <f t="shared" si="121"/>
        <v>0</v>
      </c>
      <c r="N62" s="75">
        <f t="shared" si="121"/>
        <v>0</v>
      </c>
      <c r="O62" s="75">
        <f t="shared" si="121"/>
        <v>0</v>
      </c>
      <c r="P62" s="75">
        <f t="shared" si="121"/>
        <v>0</v>
      </c>
      <c r="Q62" s="75">
        <f t="shared" si="121"/>
        <v>0</v>
      </c>
      <c r="R62" s="75">
        <f t="shared" si="121"/>
        <v>0</v>
      </c>
      <c r="S62" s="75">
        <f t="shared" si="121"/>
        <v>0</v>
      </c>
      <c r="T62" s="75">
        <f t="shared" si="121"/>
        <v>0</v>
      </c>
      <c r="U62" s="75">
        <f t="shared" si="121"/>
        <v>0</v>
      </c>
      <c r="V62" s="75">
        <f t="shared" si="121"/>
        <v>0</v>
      </c>
      <c r="W62" s="75">
        <f t="shared" si="121"/>
        <v>0</v>
      </c>
      <c r="X62" s="75">
        <f t="shared" si="121"/>
        <v>0</v>
      </c>
      <c r="Y62" s="75">
        <f t="shared" si="121"/>
        <v>0</v>
      </c>
      <c r="Z62" s="75">
        <f t="shared" si="121"/>
        <v>0</v>
      </c>
      <c r="AA62" s="75">
        <f t="shared" si="121"/>
        <v>0</v>
      </c>
      <c r="AB62" s="75">
        <f t="shared" si="121"/>
        <v>0</v>
      </c>
      <c r="AC62" s="75">
        <f t="shared" si="121"/>
        <v>0</v>
      </c>
      <c r="AD62" s="75">
        <f t="shared" si="121"/>
        <v>0</v>
      </c>
      <c r="AE62" s="75">
        <f t="shared" si="121"/>
        <v>0</v>
      </c>
      <c r="AF62" s="75">
        <f t="shared" si="121"/>
        <v>0</v>
      </c>
      <c r="AG62" s="75">
        <f t="shared" si="121"/>
        <v>0</v>
      </c>
      <c r="AH62" s="75"/>
      <c r="AI62" s="75"/>
      <c r="AJ62" s="75"/>
      <c r="AM62" s="74" t="s">
        <v>92</v>
      </c>
      <c r="AN62" s="74" t="s">
        <v>92</v>
      </c>
      <c r="AO62" s="75" t="s">
        <v>101</v>
      </c>
      <c r="AP62" s="76">
        <v>1.66</v>
      </c>
      <c r="AR62" s="74" t="s">
        <v>74</v>
      </c>
      <c r="AS62" s="96">
        <f>MAX(AI49:AI56)</f>
        <v>69063.148115238844</v>
      </c>
      <c r="AT62" s="103">
        <f>SUM(AS62*2%)</f>
        <v>1381.2629623047769</v>
      </c>
    </row>
    <row r="63" spans="1:48" x14ac:dyDescent="0.25">
      <c r="A63" s="74" t="str">
        <f>G51</f>
        <v>OMI (Royal Skandia)</v>
      </c>
      <c r="B63" s="75"/>
      <c r="D63" s="74" t="s">
        <v>17</v>
      </c>
      <c r="F63" s="74">
        <v>1</v>
      </c>
      <c r="G63" s="75">
        <v>8</v>
      </c>
      <c r="I63" s="75">
        <f>IF(OR($C$25=1,$C$24&gt;18),90,HLOOKUP($C$26-I$58,$G$73:$AE$77,3))</f>
        <v>4</v>
      </c>
      <c r="J63" s="75">
        <f>HLOOKUP($C$26-J$58,$G$73:$AE$77,3)</f>
        <v>0.6</v>
      </c>
      <c r="K63" s="75">
        <f t="shared" ref="K63:N63" si="122">IF(J63&lt;1,0,HLOOKUP($C$26-K$58,$G$73:$AE$77,3))</f>
        <v>0</v>
      </c>
      <c r="L63" s="75">
        <f t="shared" si="122"/>
        <v>0</v>
      </c>
      <c r="M63" s="75">
        <f t="shared" si="122"/>
        <v>0</v>
      </c>
      <c r="N63" s="75">
        <f t="shared" si="122"/>
        <v>0</v>
      </c>
      <c r="O63" s="75">
        <f t="shared" ref="O63:AG63" si="123">IF(N63&lt;1,0,HLOOKUP($C$26-O$58,$G$73:$AE$77,3))</f>
        <v>0</v>
      </c>
      <c r="P63" s="75">
        <f t="shared" si="123"/>
        <v>0</v>
      </c>
      <c r="Q63" s="75">
        <f t="shared" si="123"/>
        <v>0</v>
      </c>
      <c r="R63" s="75">
        <f t="shared" si="123"/>
        <v>0</v>
      </c>
      <c r="S63" s="75">
        <f t="shared" si="123"/>
        <v>0</v>
      </c>
      <c r="T63" s="75">
        <f t="shared" si="123"/>
        <v>0</v>
      </c>
      <c r="U63" s="75">
        <f t="shared" si="123"/>
        <v>0</v>
      </c>
      <c r="V63" s="75">
        <f t="shared" si="123"/>
        <v>0</v>
      </c>
      <c r="W63" s="75">
        <f t="shared" si="123"/>
        <v>0</v>
      </c>
      <c r="X63" s="75">
        <f t="shared" si="123"/>
        <v>0</v>
      </c>
      <c r="Y63" s="75">
        <f t="shared" si="123"/>
        <v>0</v>
      </c>
      <c r="Z63" s="75">
        <f t="shared" si="123"/>
        <v>0</v>
      </c>
      <c r="AA63" s="75">
        <f t="shared" si="123"/>
        <v>0</v>
      </c>
      <c r="AB63" s="75">
        <f t="shared" si="123"/>
        <v>0</v>
      </c>
      <c r="AC63" s="75">
        <f t="shared" si="123"/>
        <v>0</v>
      </c>
      <c r="AD63" s="75">
        <f t="shared" si="123"/>
        <v>0</v>
      </c>
      <c r="AE63" s="75">
        <f t="shared" si="123"/>
        <v>0</v>
      </c>
      <c r="AF63" s="75">
        <f t="shared" si="123"/>
        <v>0</v>
      </c>
      <c r="AG63" s="75">
        <f t="shared" si="123"/>
        <v>0</v>
      </c>
      <c r="AH63" s="75"/>
      <c r="AI63" s="75"/>
      <c r="AJ63" s="75"/>
      <c r="AM63" s="74" t="s">
        <v>91</v>
      </c>
      <c r="AN63" s="74" t="s">
        <v>91</v>
      </c>
      <c r="AO63" s="75" t="s">
        <v>102</v>
      </c>
      <c r="AP63" s="76">
        <v>1.37</v>
      </c>
      <c r="AR63" s="74" t="s">
        <v>72</v>
      </c>
      <c r="AS63" s="74">
        <f>SUM(AS62-AS61)</f>
        <v>14531.454559833881</v>
      </c>
      <c r="AT63" s="103">
        <f>SUM(AT62-AT61)</f>
        <v>290.62909119667756</v>
      </c>
    </row>
    <row r="64" spans="1:48" x14ac:dyDescent="0.25">
      <c r="A64" s="74" t="str">
        <f t="shared" ref="A64:A67" si="124">G53</f>
        <v>Hansard</v>
      </c>
      <c r="B64" s="75"/>
      <c r="D64" s="74" t="s">
        <v>17</v>
      </c>
      <c r="F64" s="74">
        <f>IF(E22,0.8,1.1)</f>
        <v>1.1000000000000001</v>
      </c>
      <c r="G64" s="75">
        <f>IF(E22,5,8)</f>
        <v>8</v>
      </c>
      <c r="I64" s="75">
        <f>IF(OR($C$25=1,$C$24&gt;18),90,HLOOKUP($C$26-I$58,$G$73:$AE$77,2))</f>
        <v>8</v>
      </c>
      <c r="J64" s="75">
        <f>HLOOKUP($C$26-J$58,$G$73:$AE$77,2)</f>
        <v>0</v>
      </c>
      <c r="K64" s="75">
        <f t="shared" ref="K64:M64" si="125">IF(J64=0,0,HLOOKUP($C$26-K$58,$G$73:$AE$77,2))</f>
        <v>0</v>
      </c>
      <c r="L64" s="75">
        <f t="shared" si="125"/>
        <v>0</v>
      </c>
      <c r="M64" s="75">
        <f t="shared" si="125"/>
        <v>0</v>
      </c>
      <c r="N64" s="75">
        <f>IF(M64=0,0,HLOOKUP($C$26-N$58,$G$73:$AE$77,2))</f>
        <v>0</v>
      </c>
      <c r="O64" s="75">
        <f t="shared" ref="O64:P64" si="126">IF(N64=0,0,HLOOKUP($C$26-O$58,$G$73:$AE$77,2))</f>
        <v>0</v>
      </c>
      <c r="P64" s="75">
        <f t="shared" si="126"/>
        <v>0</v>
      </c>
      <c r="Q64" s="75">
        <f t="shared" ref="Q64:AG64" si="127">IF(P64=0,0,HLOOKUP($C$26-Q$58,$G$73:$AE$77,2))</f>
        <v>0</v>
      </c>
      <c r="R64" s="75">
        <f t="shared" si="127"/>
        <v>0</v>
      </c>
      <c r="S64" s="75">
        <f t="shared" si="127"/>
        <v>0</v>
      </c>
      <c r="T64" s="75">
        <f t="shared" si="127"/>
        <v>0</v>
      </c>
      <c r="U64" s="75">
        <f t="shared" si="127"/>
        <v>0</v>
      </c>
      <c r="V64" s="75">
        <f t="shared" si="127"/>
        <v>0</v>
      </c>
      <c r="W64" s="75">
        <f t="shared" si="127"/>
        <v>0</v>
      </c>
      <c r="X64" s="75">
        <f t="shared" si="127"/>
        <v>0</v>
      </c>
      <c r="Y64" s="75">
        <f t="shared" si="127"/>
        <v>0</v>
      </c>
      <c r="Z64" s="75">
        <f t="shared" si="127"/>
        <v>0</v>
      </c>
      <c r="AA64" s="75">
        <f t="shared" si="127"/>
        <v>0</v>
      </c>
      <c r="AB64" s="75">
        <f t="shared" si="127"/>
        <v>0</v>
      </c>
      <c r="AC64" s="75">
        <f t="shared" si="127"/>
        <v>0</v>
      </c>
      <c r="AD64" s="75">
        <f t="shared" si="127"/>
        <v>0</v>
      </c>
      <c r="AE64" s="75">
        <f t="shared" si="127"/>
        <v>0</v>
      </c>
      <c r="AF64" s="75">
        <f t="shared" si="127"/>
        <v>0</v>
      </c>
      <c r="AG64" s="75">
        <f t="shared" si="127"/>
        <v>0</v>
      </c>
      <c r="AH64" s="75"/>
      <c r="AI64" s="75"/>
      <c r="AJ64" s="75"/>
      <c r="AM64" s="74" t="s">
        <v>94</v>
      </c>
      <c r="AN64" s="74" t="s">
        <v>94</v>
      </c>
      <c r="AO64" s="75"/>
      <c r="AP64" s="76"/>
      <c r="AR64" s="74" t="s">
        <v>8</v>
      </c>
      <c r="AS64" s="74">
        <f>(AS62-AS61)/AS61</f>
        <v>0.26647722842258181</v>
      </c>
      <c r="AT64" s="103"/>
    </row>
    <row r="65" spans="1:42" x14ac:dyDescent="0.25">
      <c r="A65" s="74" t="str">
        <f t="shared" si="124"/>
        <v>Ascentric</v>
      </c>
      <c r="B65" s="75"/>
      <c r="F65" s="74">
        <v>0</v>
      </c>
      <c r="G65" s="75">
        <v>0</v>
      </c>
      <c r="U65" s="75"/>
      <c r="V65" s="75"/>
      <c r="W65" s="75"/>
      <c r="X65" s="75"/>
      <c r="Z65" s="75"/>
      <c r="AA65" s="75"/>
      <c r="AB65" s="75"/>
      <c r="AC65" s="75"/>
      <c r="AD65" s="75"/>
      <c r="AE65" s="75"/>
      <c r="AF65" s="75"/>
      <c r="AG65" s="75"/>
      <c r="AH65" s="75"/>
      <c r="AI65" s="75"/>
      <c r="AJ65" s="75"/>
      <c r="AM65" s="92">
        <v>2</v>
      </c>
      <c r="AN65" s="92">
        <v>2</v>
      </c>
      <c r="AO65" s="75"/>
      <c r="AP65" s="76"/>
    </row>
    <row r="66" spans="1:42" x14ac:dyDescent="0.25">
      <c r="A66" s="74" t="str">
        <f>G55</f>
        <v>Royal London</v>
      </c>
      <c r="B66" s="75"/>
      <c r="F66" s="74">
        <f>C66/5</f>
        <v>0</v>
      </c>
      <c r="G66" s="75">
        <v>5</v>
      </c>
      <c r="I66" s="75">
        <f t="shared" ref="I66" si="128">IF(OR($C$25=1,$C$24&gt;18),90,HLOOKUP($C$26-I$58,$G$73:$AE$77,2))</f>
        <v>8</v>
      </c>
      <c r="J66" s="75">
        <f>HLOOKUP($C$26-J$58,$G$73:$AE$77,2)</f>
        <v>0</v>
      </c>
      <c r="K66" s="75">
        <f t="shared" ref="K66:M66" si="129">IF(J66=0,0,HLOOKUP($C$26-K$58,$G$73:$AE$77,2))</f>
        <v>0</v>
      </c>
      <c r="L66" s="75">
        <f t="shared" si="129"/>
        <v>0</v>
      </c>
      <c r="M66" s="75">
        <f t="shared" si="129"/>
        <v>0</v>
      </c>
      <c r="N66" s="75">
        <f>IF(M66=0,0,HLOOKUP($C$26-N$58,$G$73:$AE$77,2))</f>
        <v>0</v>
      </c>
      <c r="O66" s="75">
        <f t="shared" ref="O66:P66" si="130">IF(N66=0,0,HLOOKUP($C$26-O$58,$G$73:$AE$77,2))</f>
        <v>0</v>
      </c>
      <c r="P66" s="75">
        <f t="shared" si="130"/>
        <v>0</v>
      </c>
      <c r="Q66" s="75">
        <f t="shared" ref="Q66:AG66" si="131">IF(P66=0,0,HLOOKUP($C$26-Q$58,$G$73:$AE$77,2))</f>
        <v>0</v>
      </c>
      <c r="R66" s="75">
        <f t="shared" si="131"/>
        <v>0</v>
      </c>
      <c r="S66" s="75">
        <f t="shared" si="131"/>
        <v>0</v>
      </c>
      <c r="T66" s="75">
        <f t="shared" si="131"/>
        <v>0</v>
      </c>
      <c r="U66" s="75">
        <f t="shared" si="131"/>
        <v>0</v>
      </c>
      <c r="V66" s="75">
        <f t="shared" si="131"/>
        <v>0</v>
      </c>
      <c r="W66" s="75">
        <f t="shared" si="131"/>
        <v>0</v>
      </c>
      <c r="X66" s="75">
        <f t="shared" si="131"/>
        <v>0</v>
      </c>
      <c r="Y66" s="75">
        <f t="shared" si="131"/>
        <v>0</v>
      </c>
      <c r="Z66" s="75">
        <f t="shared" si="131"/>
        <v>0</v>
      </c>
      <c r="AA66" s="75">
        <f t="shared" si="131"/>
        <v>0</v>
      </c>
      <c r="AB66" s="75">
        <f t="shared" si="131"/>
        <v>0</v>
      </c>
      <c r="AC66" s="75">
        <f t="shared" si="131"/>
        <v>0</v>
      </c>
      <c r="AD66" s="75">
        <f t="shared" si="131"/>
        <v>0</v>
      </c>
      <c r="AE66" s="75">
        <f t="shared" si="131"/>
        <v>0</v>
      </c>
      <c r="AF66" s="75">
        <f t="shared" si="131"/>
        <v>0</v>
      </c>
      <c r="AG66" s="75">
        <f t="shared" si="131"/>
        <v>0</v>
      </c>
      <c r="AH66" s="75"/>
      <c r="AI66" s="75"/>
      <c r="AJ66" s="75"/>
      <c r="AM66" s="92" t="str">
        <f>IF(AM65=3,AM63,IF(AM65=2,AM62,AM61))</f>
        <v>GBP (£)</v>
      </c>
      <c r="AN66" s="92" t="str">
        <f>IF(AN65=3,AN63,IF(AN65=2,AN62,AN61))</f>
        <v>GBP (£)</v>
      </c>
      <c r="AO66" s="75"/>
      <c r="AP66" s="76"/>
    </row>
    <row r="67" spans="1:42" x14ac:dyDescent="0.25">
      <c r="A67" s="74" t="str">
        <f t="shared" si="124"/>
        <v>Friends Provident</v>
      </c>
      <c r="B67" s="75"/>
      <c r="F67" s="74">
        <v>1.105</v>
      </c>
      <c r="G67" s="75">
        <v>10</v>
      </c>
      <c r="I67" s="75">
        <f>IF(OR($C$25=1,$C$24&gt;18),90,HLOOKUP($C$26-I$58,$G$73:$AE$77,4))</f>
        <v>6</v>
      </c>
      <c r="J67" s="75">
        <f>HLOOKUP($C$26-J$58,$G$73:$AE$77,4)</f>
        <v>0</v>
      </c>
      <c r="K67" s="75">
        <f t="shared" ref="K67:M67" si="132">IF(J67=0,0,HLOOKUP($C$26-K$58,$G$73:$AE$77,4))</f>
        <v>0</v>
      </c>
      <c r="L67" s="75">
        <f t="shared" si="132"/>
        <v>0</v>
      </c>
      <c r="M67" s="75">
        <f t="shared" si="132"/>
        <v>0</v>
      </c>
      <c r="N67" s="75">
        <f>IF(M67=0,0,HLOOKUP($C$26-N$58,$G$73:$AE$77,4))</f>
        <v>0</v>
      </c>
      <c r="O67" s="75">
        <f t="shared" ref="O67:P67" si="133">IF(N67=0,0,HLOOKUP($C$26-O$58,$G$73:$AE$77,4))</f>
        <v>0</v>
      </c>
      <c r="P67" s="75">
        <f t="shared" si="133"/>
        <v>0</v>
      </c>
      <c r="Q67" s="75">
        <f t="shared" ref="Q67:AG67" si="134">IF(P67=0,0,HLOOKUP($C$26-Q$58,$G$73:$AE$77,4))</f>
        <v>0</v>
      </c>
      <c r="R67" s="75">
        <f t="shared" si="134"/>
        <v>0</v>
      </c>
      <c r="S67" s="75">
        <f t="shared" si="134"/>
        <v>0</v>
      </c>
      <c r="T67" s="75">
        <f t="shared" si="134"/>
        <v>0</v>
      </c>
      <c r="U67" s="75">
        <f t="shared" si="134"/>
        <v>0</v>
      </c>
      <c r="V67" s="75">
        <f t="shared" si="134"/>
        <v>0</v>
      </c>
      <c r="W67" s="75">
        <f t="shared" si="134"/>
        <v>0</v>
      </c>
      <c r="X67" s="75">
        <f t="shared" si="134"/>
        <v>0</v>
      </c>
      <c r="Y67" s="75">
        <f t="shared" si="134"/>
        <v>0</v>
      </c>
      <c r="Z67" s="75">
        <f t="shared" si="134"/>
        <v>0</v>
      </c>
      <c r="AA67" s="75">
        <f t="shared" si="134"/>
        <v>0</v>
      </c>
      <c r="AB67" s="75">
        <f t="shared" si="134"/>
        <v>0</v>
      </c>
      <c r="AC67" s="75">
        <f t="shared" si="134"/>
        <v>0</v>
      </c>
      <c r="AD67" s="75">
        <f t="shared" si="134"/>
        <v>0</v>
      </c>
      <c r="AE67" s="75">
        <f t="shared" si="134"/>
        <v>0</v>
      </c>
      <c r="AF67" s="75">
        <f t="shared" si="134"/>
        <v>0</v>
      </c>
      <c r="AG67" s="75">
        <f t="shared" si="134"/>
        <v>0</v>
      </c>
      <c r="AH67" s="75"/>
      <c r="AI67" s="75"/>
      <c r="AJ67" s="75"/>
      <c r="AM67" s="74">
        <f>IF(AM65=1,IF(AN65=2,1/AP61,AP63),IF(AM65=AN65,1,IF(AM65=2,IF(AN65=1,AP61,AP62),IF(AM65=3,IF(AN65=1,1/AP63,1/AP62)))))</f>
        <v>1</v>
      </c>
      <c r="AO67" s="75"/>
      <c r="AP67" s="76"/>
    </row>
    <row r="68" spans="1:42" x14ac:dyDescent="0.25">
      <c r="B68" s="75"/>
      <c r="G68" s="75"/>
      <c r="U68" s="75"/>
      <c r="V68" s="75"/>
      <c r="W68" s="75"/>
      <c r="X68" s="75"/>
      <c r="Z68" s="75"/>
      <c r="AA68" s="75"/>
      <c r="AB68" s="75"/>
      <c r="AC68" s="75"/>
      <c r="AD68" s="75"/>
      <c r="AE68" s="75"/>
      <c r="AF68" s="75"/>
      <c r="AG68" s="75"/>
      <c r="AH68" s="75"/>
      <c r="AI68" s="75"/>
      <c r="AJ68" s="75"/>
      <c r="AO68" s="75"/>
      <c r="AP68" s="76"/>
    </row>
    <row r="69" spans="1:42" x14ac:dyDescent="0.25">
      <c r="B69" s="75"/>
      <c r="G69" s="75"/>
      <c r="U69" s="75"/>
      <c r="V69" s="75"/>
      <c r="W69" s="75"/>
      <c r="X69" s="75"/>
      <c r="Z69" s="75"/>
      <c r="AA69" s="75"/>
      <c r="AB69" s="75"/>
      <c r="AC69" s="75"/>
      <c r="AD69" s="75"/>
      <c r="AE69" s="75"/>
      <c r="AF69" s="75"/>
      <c r="AG69" s="75"/>
      <c r="AH69" s="75"/>
      <c r="AI69" s="75"/>
      <c r="AJ69" s="75"/>
      <c r="AO69" s="75"/>
      <c r="AP69" s="76"/>
    </row>
    <row r="70" spans="1:42" x14ac:dyDescent="0.25">
      <c r="B70" s="75"/>
      <c r="G70" s="75"/>
      <c r="U70" s="75"/>
      <c r="V70" s="75"/>
      <c r="W70" s="75"/>
      <c r="X70" s="75"/>
      <c r="Z70" s="75"/>
      <c r="AA70" s="75"/>
      <c r="AB70" s="75"/>
      <c r="AC70" s="75"/>
      <c r="AD70" s="75"/>
      <c r="AE70" s="75"/>
      <c r="AF70" s="75"/>
      <c r="AG70" s="75"/>
      <c r="AH70" s="75"/>
      <c r="AI70" s="75"/>
      <c r="AJ70" s="75"/>
      <c r="AO70" s="75"/>
      <c r="AP70" s="76"/>
    </row>
    <row r="71" spans="1:42" x14ac:dyDescent="0.25">
      <c r="B71" s="75"/>
      <c r="G71" s="75"/>
      <c r="U71" s="75"/>
      <c r="V71" s="75"/>
      <c r="W71" s="75"/>
      <c r="X71" s="75"/>
      <c r="Z71" s="75"/>
      <c r="AA71" s="75"/>
      <c r="AB71" s="75"/>
      <c r="AC71" s="75"/>
      <c r="AD71" s="75"/>
      <c r="AE71" s="75"/>
      <c r="AF71" s="75"/>
      <c r="AG71" s="75"/>
      <c r="AH71" s="75"/>
      <c r="AI71" s="75"/>
      <c r="AJ71" s="75"/>
      <c r="AO71" s="75"/>
      <c r="AP71" s="76"/>
    </row>
    <row r="73" spans="1:42" x14ac:dyDescent="0.25">
      <c r="G73" s="74">
        <v>0</v>
      </c>
      <c r="H73" s="87">
        <v>1</v>
      </c>
      <c r="I73" s="87">
        <v>2</v>
      </c>
      <c r="J73" s="87">
        <v>3</v>
      </c>
      <c r="K73" s="87">
        <v>4</v>
      </c>
      <c r="L73" s="87">
        <v>5</v>
      </c>
      <c r="M73" s="87">
        <v>6</v>
      </c>
      <c r="N73" s="87">
        <v>7</v>
      </c>
      <c r="O73" s="87">
        <v>8</v>
      </c>
      <c r="P73" s="87">
        <v>9</v>
      </c>
      <c r="Q73" s="87">
        <v>10</v>
      </c>
      <c r="R73" s="87">
        <v>11</v>
      </c>
      <c r="S73" s="87">
        <v>12</v>
      </c>
      <c r="T73" s="87">
        <v>13</v>
      </c>
      <c r="U73" s="87">
        <v>14</v>
      </c>
      <c r="V73" s="87">
        <f>U73+1</f>
        <v>15</v>
      </c>
      <c r="W73" s="87">
        <f t="shared" ref="W73:AE73" si="135">V73+1</f>
        <v>16</v>
      </c>
      <c r="X73" s="87">
        <f t="shared" si="135"/>
        <v>17</v>
      </c>
      <c r="Y73" s="87">
        <f t="shared" si="135"/>
        <v>18</v>
      </c>
      <c r="Z73" s="87">
        <f t="shared" si="135"/>
        <v>19</v>
      </c>
      <c r="AA73" s="87">
        <f t="shared" si="135"/>
        <v>20</v>
      </c>
      <c r="AB73" s="87">
        <f t="shared" si="135"/>
        <v>21</v>
      </c>
      <c r="AC73" s="87">
        <f t="shared" si="135"/>
        <v>22</v>
      </c>
      <c r="AD73" s="87">
        <f t="shared" si="135"/>
        <v>23</v>
      </c>
      <c r="AE73" s="87">
        <f t="shared" si="135"/>
        <v>24</v>
      </c>
    </row>
    <row r="74" spans="1:42" x14ac:dyDescent="0.25">
      <c r="F74" s="74" t="s">
        <v>110</v>
      </c>
      <c r="G74" s="74">
        <v>0</v>
      </c>
      <c r="H74" s="87">
        <v>8</v>
      </c>
      <c r="I74" s="87">
        <v>15.5</v>
      </c>
      <c r="J74" s="87">
        <v>22</v>
      </c>
      <c r="K74" s="87">
        <v>28.5</v>
      </c>
      <c r="L74" s="87">
        <v>34</v>
      </c>
      <c r="M74" s="87">
        <v>39.5</v>
      </c>
      <c r="N74" s="87">
        <v>44</v>
      </c>
      <c r="O74" s="87">
        <v>48.5</v>
      </c>
      <c r="P74" s="87">
        <v>52.5</v>
      </c>
      <c r="Q74" s="87">
        <v>56.5</v>
      </c>
      <c r="R74" s="87">
        <v>60</v>
      </c>
      <c r="S74" s="87">
        <v>63</v>
      </c>
      <c r="T74" s="87">
        <v>66</v>
      </c>
      <c r="U74" s="87">
        <v>69</v>
      </c>
      <c r="V74" s="87">
        <v>71.5</v>
      </c>
      <c r="W74" s="87">
        <v>73.5</v>
      </c>
      <c r="X74" s="87">
        <v>75.5</v>
      </c>
      <c r="Y74" s="87">
        <v>77.5</v>
      </c>
      <c r="Z74" s="87">
        <v>79.5</v>
      </c>
      <c r="AA74" s="104">
        <v>81</v>
      </c>
      <c r="AB74" s="87">
        <v>82.5</v>
      </c>
      <c r="AC74" s="87">
        <v>84</v>
      </c>
      <c r="AD74" s="87">
        <v>85.5</v>
      </c>
      <c r="AE74" s="87">
        <v>86.5</v>
      </c>
    </row>
    <row r="75" spans="1:42" x14ac:dyDescent="0.25">
      <c r="F75" s="74" t="s">
        <v>109</v>
      </c>
      <c r="G75" s="105">
        <v>0.6</v>
      </c>
      <c r="H75" s="105">
        <f>60/15</f>
        <v>4</v>
      </c>
      <c r="I75" s="105">
        <f>H75+$H$75</f>
        <v>8</v>
      </c>
      <c r="J75" s="105">
        <f t="shared" ref="J75:AE75" si="136">I75+$H$75</f>
        <v>12</v>
      </c>
      <c r="K75" s="105">
        <f t="shared" si="136"/>
        <v>16</v>
      </c>
      <c r="L75" s="105">
        <f t="shared" si="136"/>
        <v>20</v>
      </c>
      <c r="M75" s="105">
        <f t="shared" si="136"/>
        <v>24</v>
      </c>
      <c r="N75" s="105">
        <f t="shared" si="136"/>
        <v>28</v>
      </c>
      <c r="O75" s="105">
        <f t="shared" si="136"/>
        <v>32</v>
      </c>
      <c r="P75" s="105">
        <f t="shared" si="136"/>
        <v>36</v>
      </c>
      <c r="Q75" s="105">
        <f t="shared" si="136"/>
        <v>40</v>
      </c>
      <c r="R75" s="105">
        <f t="shared" si="136"/>
        <v>44</v>
      </c>
      <c r="S75" s="105">
        <f t="shared" si="136"/>
        <v>48</v>
      </c>
      <c r="T75" s="105">
        <f t="shared" si="136"/>
        <v>52</v>
      </c>
      <c r="U75" s="105">
        <f t="shared" si="136"/>
        <v>56</v>
      </c>
      <c r="V75" s="105">
        <f t="shared" si="136"/>
        <v>60</v>
      </c>
      <c r="W75" s="105">
        <f t="shared" si="136"/>
        <v>64</v>
      </c>
      <c r="X75" s="105">
        <f t="shared" si="136"/>
        <v>68</v>
      </c>
      <c r="Y75" s="105">
        <f t="shared" si="136"/>
        <v>72</v>
      </c>
      <c r="Z75" s="105">
        <f t="shared" si="136"/>
        <v>76</v>
      </c>
      <c r="AA75" s="105">
        <f t="shared" si="136"/>
        <v>80</v>
      </c>
      <c r="AB75" s="105">
        <f t="shared" si="136"/>
        <v>84</v>
      </c>
      <c r="AC75" s="105">
        <f t="shared" si="136"/>
        <v>88</v>
      </c>
      <c r="AD75" s="105">
        <f t="shared" si="136"/>
        <v>92</v>
      </c>
      <c r="AE75" s="105">
        <f t="shared" si="136"/>
        <v>96</v>
      </c>
    </row>
    <row r="76" spans="1:42" x14ac:dyDescent="0.25">
      <c r="F76" s="74" t="s">
        <v>112</v>
      </c>
      <c r="G76" s="105">
        <v>0</v>
      </c>
      <c r="H76" s="105">
        <v>6</v>
      </c>
      <c r="I76" s="105">
        <f>H76+6</f>
        <v>12</v>
      </c>
      <c r="J76" s="105">
        <f t="shared" ref="J76:M76" si="137">I76+6</f>
        <v>18</v>
      </c>
      <c r="K76" s="105">
        <f t="shared" si="137"/>
        <v>24</v>
      </c>
      <c r="L76" s="105">
        <f t="shared" si="137"/>
        <v>30</v>
      </c>
      <c r="M76" s="105">
        <f t="shared" si="137"/>
        <v>36</v>
      </c>
      <c r="N76" s="105">
        <f>M76+3</f>
        <v>39</v>
      </c>
      <c r="O76" s="105">
        <f t="shared" ref="O76:U76" si="138">N76+3</f>
        <v>42</v>
      </c>
      <c r="P76" s="105">
        <f t="shared" si="138"/>
        <v>45</v>
      </c>
      <c r="Q76" s="105">
        <f t="shared" si="138"/>
        <v>48</v>
      </c>
      <c r="R76" s="105">
        <f t="shared" si="138"/>
        <v>51</v>
      </c>
      <c r="S76" s="105">
        <f t="shared" si="138"/>
        <v>54</v>
      </c>
      <c r="T76" s="105">
        <f t="shared" si="138"/>
        <v>57</v>
      </c>
      <c r="U76" s="105">
        <f t="shared" si="138"/>
        <v>60</v>
      </c>
      <c r="V76" s="105">
        <f>U76+4</f>
        <v>64</v>
      </c>
      <c r="W76" s="105">
        <f t="shared" ref="W76:X76" si="139">V76+4</f>
        <v>68</v>
      </c>
      <c r="X76" s="105">
        <f t="shared" si="139"/>
        <v>72</v>
      </c>
      <c r="Y76" s="105">
        <f>X76+3</f>
        <v>75</v>
      </c>
      <c r="Z76" s="105">
        <f t="shared" ref="Z76:AC76" si="140">Y76+3</f>
        <v>78</v>
      </c>
      <c r="AA76" s="105">
        <f t="shared" si="140"/>
        <v>81</v>
      </c>
      <c r="AB76" s="105">
        <f t="shared" si="140"/>
        <v>84</v>
      </c>
      <c r="AC76" s="105">
        <f t="shared" si="140"/>
        <v>87</v>
      </c>
      <c r="AD76" s="105">
        <f>AC76+3</f>
        <v>90</v>
      </c>
      <c r="AE76" s="105">
        <f>AD76+3</f>
        <v>93</v>
      </c>
    </row>
    <row r="77" spans="1:42" x14ac:dyDescent="0.25">
      <c r="F77" s="74" t="s">
        <v>14</v>
      </c>
      <c r="G77" s="87">
        <v>0</v>
      </c>
      <c r="H77" s="86">
        <f>H78</f>
        <v>1140</v>
      </c>
      <c r="I77" s="86">
        <f>H77+I78</f>
        <v>2280</v>
      </c>
      <c r="J77" s="86">
        <f t="shared" ref="J77:Q77" si="141">I77+J78</f>
        <v>3420</v>
      </c>
      <c r="K77" s="86">
        <f t="shared" si="141"/>
        <v>4560</v>
      </c>
      <c r="L77" s="86">
        <f t="shared" si="141"/>
        <v>4560</v>
      </c>
      <c r="M77" s="86">
        <f t="shared" si="141"/>
        <v>4560</v>
      </c>
      <c r="N77" s="86">
        <f t="shared" si="141"/>
        <v>4560</v>
      </c>
      <c r="O77" s="86">
        <f t="shared" si="141"/>
        <v>4560</v>
      </c>
      <c r="P77" s="86">
        <f t="shared" si="141"/>
        <v>4560</v>
      </c>
      <c r="Q77" s="86">
        <f t="shared" si="141"/>
        <v>4560</v>
      </c>
      <c r="R77" s="86">
        <f t="shared" ref="R77" si="142">Q77+R78</f>
        <v>4560</v>
      </c>
      <c r="S77" s="86">
        <f t="shared" ref="S77" si="143">R77+S78</f>
        <v>4560</v>
      </c>
      <c r="T77" s="86">
        <f t="shared" ref="T77" si="144">S77+T78</f>
        <v>4560</v>
      </c>
      <c r="U77" s="86">
        <f t="shared" ref="U77" si="145">T77+U78</f>
        <v>4560</v>
      </c>
      <c r="V77" s="86">
        <f t="shared" ref="V77" si="146">U77+V78</f>
        <v>4560</v>
      </c>
      <c r="W77" s="86">
        <f t="shared" ref="W77" si="147">V77+W78</f>
        <v>4560</v>
      </c>
      <c r="X77" s="86">
        <f t="shared" ref="X77:Y77" si="148">W77+X78</f>
        <v>4560</v>
      </c>
      <c r="Y77" s="86">
        <f t="shared" si="148"/>
        <v>4560</v>
      </c>
      <c r="Z77" s="86">
        <f t="shared" ref="Z77" si="149">Y77+Z78</f>
        <v>4560</v>
      </c>
      <c r="AA77" s="86">
        <f t="shared" ref="AA77" si="150">Z77+AA78</f>
        <v>4560</v>
      </c>
      <c r="AB77" s="86">
        <f t="shared" ref="AB77" si="151">AA77+AB78</f>
        <v>4560</v>
      </c>
      <c r="AC77" s="86">
        <f t="shared" ref="AC77" si="152">AB77+AC78</f>
        <v>4560</v>
      </c>
      <c r="AD77" s="86">
        <f t="shared" ref="AD77" si="153">AC77+AD78</f>
        <v>4560</v>
      </c>
      <c r="AE77" s="86">
        <f t="shared" ref="AE77" si="154">AD77+AE78</f>
        <v>4560</v>
      </c>
    </row>
    <row r="78" spans="1:42" x14ac:dyDescent="0.25">
      <c r="F78" s="74" t="s">
        <v>14</v>
      </c>
      <c r="G78" s="105">
        <v>0</v>
      </c>
      <c r="H78" s="86">
        <f>IF(C24&lt;11,C21*C24*2%,(C21*10*2%)+(C21*(C24-10)*0.3%))</f>
        <v>1140</v>
      </c>
      <c r="I78" s="105">
        <f>H78</f>
        <v>1140</v>
      </c>
      <c r="J78" s="105">
        <f t="shared" ref="J78" si="155">I78</f>
        <v>1140</v>
      </c>
      <c r="K78" s="105">
        <f>IF($C$24&gt;K73,J78,0)</f>
        <v>1140</v>
      </c>
      <c r="L78" s="105">
        <f t="shared" ref="L78:AE78" si="156">IF($C$24&gt;L73,K78,0)</f>
        <v>0</v>
      </c>
      <c r="M78" s="105">
        <f t="shared" si="156"/>
        <v>0</v>
      </c>
      <c r="N78" s="105">
        <f t="shared" si="156"/>
        <v>0</v>
      </c>
      <c r="O78" s="105">
        <f t="shared" si="156"/>
        <v>0</v>
      </c>
      <c r="P78" s="105">
        <f t="shared" si="156"/>
        <v>0</v>
      </c>
      <c r="Q78" s="105">
        <f t="shared" si="156"/>
        <v>0</v>
      </c>
      <c r="R78" s="105">
        <f t="shared" si="156"/>
        <v>0</v>
      </c>
      <c r="S78" s="105">
        <f t="shared" si="156"/>
        <v>0</v>
      </c>
      <c r="T78" s="105">
        <f t="shared" si="156"/>
        <v>0</v>
      </c>
      <c r="U78" s="105">
        <f t="shared" si="156"/>
        <v>0</v>
      </c>
      <c r="V78" s="105">
        <f t="shared" si="156"/>
        <v>0</v>
      </c>
      <c r="W78" s="105">
        <f t="shared" si="156"/>
        <v>0</v>
      </c>
      <c r="X78" s="105">
        <f t="shared" si="156"/>
        <v>0</v>
      </c>
      <c r="Y78" s="105">
        <f t="shared" si="156"/>
        <v>0</v>
      </c>
      <c r="Z78" s="105">
        <f t="shared" si="156"/>
        <v>0</v>
      </c>
      <c r="AA78" s="105">
        <f t="shared" si="156"/>
        <v>0</v>
      </c>
      <c r="AB78" s="105">
        <f t="shared" si="156"/>
        <v>0</v>
      </c>
      <c r="AC78" s="105">
        <f t="shared" si="156"/>
        <v>0</v>
      </c>
      <c r="AD78" s="105">
        <f t="shared" si="156"/>
        <v>0</v>
      </c>
      <c r="AE78" s="105">
        <f t="shared" si="156"/>
        <v>0</v>
      </c>
    </row>
    <row r="79" spans="1:42" x14ac:dyDescent="0.25">
      <c r="G79" s="105"/>
      <c r="H79" s="88"/>
      <c r="I79" s="88"/>
      <c r="J79" s="88"/>
      <c r="K79" s="88"/>
      <c r="L79" s="88"/>
      <c r="M79" s="88"/>
      <c r="N79" s="88"/>
      <c r="O79" s="88"/>
      <c r="P79" s="88"/>
      <c r="Q79" s="88"/>
      <c r="R79" s="88"/>
      <c r="S79" s="88"/>
      <c r="T79" s="88"/>
      <c r="U79" s="88"/>
      <c r="V79" s="88"/>
      <c r="W79" s="88"/>
      <c r="X79" s="88"/>
      <c r="Y79" s="88"/>
      <c r="Z79" s="88"/>
      <c r="AA79" s="88"/>
      <c r="AB79" s="88"/>
      <c r="AC79" s="88"/>
      <c r="AD79" s="88"/>
      <c r="AE79" s="88"/>
    </row>
    <row r="80" spans="1:42" x14ac:dyDescent="0.25">
      <c r="F80" s="75"/>
      <c r="G80" s="75"/>
    </row>
    <row r="83" spans="9:9" x14ac:dyDescent="0.25">
      <c r="I83" s="75">
        <f>(100-I62)%</f>
        <v>-44.6</v>
      </c>
    </row>
  </sheetData>
  <sheetProtection password="8D33" sheet="1" objects="1" scenarios="1" formatCells="0" selectLockedCells="1" selectUnlockedCells="1"/>
  <mergeCells count="3">
    <mergeCell ref="B1:H1"/>
    <mergeCell ref="T1:W1"/>
    <mergeCell ref="Y1:AB1"/>
  </mergeCells>
  <pageMargins left="0.70866141732283472" right="0.70866141732283472" top="0.74803149606299213" bottom="0.74803149606299213" header="0.31496062992125984" footer="0.31496062992125984"/>
  <pageSetup paperSize="9" scale="81" fitToWidth="2"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Investment_Projections</vt:lpstr>
      <vt:lpstr>Calc_sheet</vt:lpstr>
      <vt:lpstr>Investment_Projections!GBP</vt:lpstr>
      <vt:lpstr>Calc_sheet!Print_Area</vt:lpstr>
      <vt:lpstr>Investment_Projections!Print_Area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James;Josh;EXPAT MONEY EXPERT</dc:creator>
  <cp:lastModifiedBy>James</cp:lastModifiedBy>
  <cp:lastPrinted>2014-07-18T14:23:56Z</cp:lastPrinted>
  <dcterms:created xsi:type="dcterms:W3CDTF">2014-06-24T10:55:53Z</dcterms:created>
  <dcterms:modified xsi:type="dcterms:W3CDTF">2015-09-14T15:30:08Z</dcterms:modified>
</cp:coreProperties>
</file>